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345" windowWidth="14805" windowHeight="7770" activeTab="7"/>
  </bookViews>
  <sheets>
    <sheet name="1 день" sheetId="4" r:id="rId1"/>
    <sheet name="2 день" sheetId="8" r:id="rId2"/>
    <sheet name="3 день" sheetId="1" r:id="rId3"/>
    <sheet name="4 день" sheetId="2" r:id="rId4"/>
    <sheet name="5 день" sheetId="3" r:id="rId5"/>
    <sheet name="6 день" sheetId="10" r:id="rId6"/>
    <sheet name="7 день" sheetId="9" r:id="rId7"/>
    <sheet name="8 день" sheetId="7" r:id="rId8"/>
    <sheet name="9 день" sheetId="11" r:id="rId9"/>
    <sheet name="10 день" sheetId="6" r:id="rId10"/>
    <sheet name="реком среднесут норма" sheetId="13" r:id="rId11"/>
    <sheet name="отклонение" sheetId="5" r:id="rId12"/>
    <sheet name="энерг ценность" sheetId="12" r:id="rId13"/>
    <sheet name="Лист10" sheetId="14" r:id="rId14"/>
    <sheet name="Лист1" sheetId="15" r:id="rId15"/>
  </sheets>
  <definedNames>
    <definedName name="_xlnm.Print_Area" localSheetId="0">'1 день'!$A$1:$R$71</definedName>
    <definedName name="_xlnm.Print_Area" localSheetId="9">'10 день'!$A$1:$R$50</definedName>
    <definedName name="_xlnm.Print_Area" localSheetId="1">'2 день'!$A$1:$R$57</definedName>
    <definedName name="_xlnm.Print_Area" localSheetId="2">'3 день'!$A$1:$R$57</definedName>
    <definedName name="_xlnm.Print_Area" localSheetId="3">'4 день'!$A$1:$R$66</definedName>
    <definedName name="_xlnm.Print_Area" localSheetId="4">'5 день'!$A$1:$R$57</definedName>
    <definedName name="_xlnm.Print_Area" localSheetId="5">'6 день'!$A$1:$R$49</definedName>
    <definedName name="_xlnm.Print_Area" localSheetId="6">'7 день'!$A$1:$R$64</definedName>
    <definedName name="_xlnm.Print_Area" localSheetId="7">'8 день'!$A$1:$R$53</definedName>
    <definedName name="_xlnm.Print_Area" localSheetId="8">'9 день'!$A$1:$R$57</definedName>
  </definedNames>
  <calcPr calcId="125725"/>
</workbook>
</file>

<file path=xl/calcChain.xml><?xml version="1.0" encoding="utf-8"?>
<calcChain xmlns="http://schemas.openxmlformats.org/spreadsheetml/2006/main">
  <c r="E65" i="2"/>
  <c r="E39" i="8"/>
  <c r="F39"/>
  <c r="H39"/>
  <c r="I39"/>
  <c r="J39"/>
  <c r="R11" i="6" l="1"/>
  <c r="Q11"/>
  <c r="P11"/>
  <c r="O11"/>
  <c r="L11"/>
  <c r="D11"/>
  <c r="J61" i="4"/>
  <c r="I61"/>
  <c r="R48" i="7"/>
  <c r="Q48"/>
  <c r="P48"/>
  <c r="O48"/>
  <c r="L48"/>
  <c r="G48"/>
  <c r="E48"/>
  <c r="D48"/>
  <c r="F9" i="13"/>
  <c r="O9"/>
  <c r="N9"/>
  <c r="L9"/>
  <c r="I9"/>
  <c r="E40" i="1"/>
  <c r="G40"/>
  <c r="T13" i="13"/>
  <c r="M17"/>
  <c r="L17"/>
  <c r="K17"/>
  <c r="I17"/>
  <c r="H17"/>
  <c r="T10"/>
  <c r="C15" i="8"/>
  <c r="C17"/>
  <c r="L13" i="13"/>
  <c r="H13"/>
  <c r="M13"/>
  <c r="J13"/>
  <c r="E13"/>
  <c r="T20"/>
  <c r="E20"/>
  <c r="K20"/>
  <c r="N20"/>
  <c r="L20"/>
  <c r="J20"/>
  <c r="G20"/>
  <c r="K22"/>
  <c r="I22"/>
  <c r="G22"/>
  <c r="E22"/>
  <c r="H22"/>
  <c r="K34"/>
  <c r="J16"/>
  <c r="H16"/>
  <c r="K16"/>
  <c r="M16"/>
  <c r="F16"/>
  <c r="F17"/>
  <c r="G15"/>
  <c r="E15"/>
  <c r="N15"/>
  <c r="K15"/>
  <c r="M15"/>
  <c r="J15"/>
  <c r="H15"/>
  <c r="P19" i="7"/>
  <c r="N19"/>
  <c r="K19"/>
  <c r="P59" i="9"/>
  <c r="N59"/>
  <c r="K59"/>
  <c r="F29" i="13"/>
  <c r="G28"/>
  <c r="C50" i="1"/>
  <c r="C48"/>
  <c r="U36" i="13"/>
  <c r="E23" i="7" l="1"/>
  <c r="G23"/>
  <c r="I23"/>
  <c r="J23"/>
  <c r="K23"/>
  <c r="L23"/>
  <c r="M23"/>
  <c r="N23"/>
  <c r="O23"/>
  <c r="P23"/>
  <c r="Q23"/>
  <c r="R23"/>
  <c r="D23"/>
  <c r="C12"/>
  <c r="H5"/>
  <c r="H23" s="1"/>
  <c r="F5"/>
  <c r="F23" s="1"/>
  <c r="H20" i="13"/>
  <c r="C51" i="2"/>
  <c r="C49"/>
  <c r="C48"/>
  <c r="J46"/>
  <c r="I46"/>
  <c r="E46"/>
  <c r="C55" i="4"/>
  <c r="C53"/>
  <c r="C52"/>
  <c r="J50"/>
  <c r="I50"/>
  <c r="E50"/>
  <c r="G9" i="13"/>
  <c r="C41" i="1"/>
  <c r="F18" i="13"/>
  <c r="F23"/>
  <c r="C44" i="8"/>
  <c r="C43"/>
  <c r="C42"/>
  <c r="F22" i="13"/>
  <c r="M22"/>
  <c r="C52" i="3"/>
  <c r="C50"/>
  <c r="T32" i="13"/>
  <c r="M32"/>
  <c r="K28" l="1"/>
  <c r="I28"/>
  <c r="D5" i="6"/>
  <c r="D5" i="1"/>
  <c r="C23" i="6"/>
  <c r="C22"/>
  <c r="C21"/>
  <c r="C20"/>
  <c r="C19"/>
  <c r="C18"/>
  <c r="R17"/>
  <c r="Q17"/>
  <c r="P17"/>
  <c r="O17"/>
  <c r="N17"/>
  <c r="L17"/>
  <c r="K17"/>
  <c r="J17"/>
  <c r="I17"/>
  <c r="G17"/>
  <c r="E17"/>
  <c r="D17"/>
  <c r="R43"/>
  <c r="Q43"/>
  <c r="P43"/>
  <c r="O43"/>
  <c r="L43"/>
  <c r="G43"/>
  <c r="E43"/>
  <c r="D43"/>
  <c r="C39"/>
  <c r="C37"/>
  <c r="R36"/>
  <c r="Q36"/>
  <c r="P36"/>
  <c r="O36"/>
  <c r="N36"/>
  <c r="L36"/>
  <c r="K36"/>
  <c r="J36"/>
  <c r="I36"/>
  <c r="H36"/>
  <c r="G36"/>
  <c r="F36"/>
  <c r="D36"/>
  <c r="N30" i="13"/>
  <c r="M30"/>
  <c r="L30"/>
  <c r="K30"/>
  <c r="J30"/>
  <c r="I30"/>
  <c r="H30"/>
  <c r="G30"/>
  <c r="F30"/>
  <c r="E30"/>
  <c r="N13"/>
  <c r="N16"/>
  <c r="M29"/>
  <c r="M20"/>
  <c r="M18"/>
  <c r="L25"/>
  <c r="L15"/>
  <c r="L22"/>
  <c r="K25"/>
  <c r="K13"/>
  <c r="K27"/>
  <c r="K18"/>
  <c r="J25"/>
  <c r="J19"/>
  <c r="J28"/>
  <c r="I16"/>
  <c r="I20"/>
  <c r="C43" i="3"/>
  <c r="I18" i="13"/>
  <c r="C42" i="3"/>
  <c r="C41"/>
  <c r="I19" i="13"/>
  <c r="I15"/>
  <c r="H25"/>
  <c r="F21"/>
  <c r="F20"/>
  <c r="H9"/>
  <c r="H27"/>
  <c r="H18"/>
  <c r="G16"/>
  <c r="G12"/>
  <c r="G18"/>
  <c r="F28"/>
  <c r="F25"/>
  <c r="F15"/>
  <c r="F32"/>
  <c r="F13"/>
  <c r="E28"/>
  <c r="E16"/>
  <c r="E25"/>
  <c r="E26"/>
  <c r="I8" i="5" l="1"/>
  <c r="C41" i="8"/>
  <c r="C40"/>
  <c r="R39"/>
  <c r="Q39"/>
  <c r="P39"/>
  <c r="O39"/>
  <c r="N39"/>
  <c r="N56" s="1"/>
  <c r="M8" i="5" s="1"/>
  <c r="M39" i="8"/>
  <c r="M56" s="1"/>
  <c r="L8" i="5" s="1"/>
  <c r="L39" i="8"/>
  <c r="K39"/>
  <c r="K56" s="1"/>
  <c r="J8" i="5" s="1"/>
  <c r="F56" i="8"/>
  <c r="E8" i="5" s="1"/>
  <c r="D39" i="8"/>
  <c r="C48"/>
  <c r="C37"/>
  <c r="R31"/>
  <c r="Q31"/>
  <c r="Q56" s="1"/>
  <c r="P8" i="5" s="1"/>
  <c r="P31" i="8"/>
  <c r="P56" s="1"/>
  <c r="O8" i="5" s="1"/>
  <c r="O31" i="8"/>
  <c r="J31"/>
  <c r="J56" s="1"/>
  <c r="I31"/>
  <c r="I56" s="1"/>
  <c r="H8" i="5" s="1"/>
  <c r="E31" i="8"/>
  <c r="O56"/>
  <c r="N8" i="5" s="1"/>
  <c r="D31" i="8"/>
  <c r="L56"/>
  <c r="K8" i="5" s="1"/>
  <c r="H56" i="8"/>
  <c r="G8" i="5" s="1"/>
  <c r="G56" i="8"/>
  <c r="F8" i="5" s="1"/>
  <c r="C28" i="3"/>
  <c r="R65" i="2"/>
  <c r="Q12" i="5" s="1"/>
  <c r="Q65" i="2"/>
  <c r="P12" i="5" s="1"/>
  <c r="P65" i="2"/>
  <c r="O12" i="5" s="1"/>
  <c r="O65" i="2"/>
  <c r="N12" i="5" s="1"/>
  <c r="N65" i="2"/>
  <c r="M12" i="5" s="1"/>
  <c r="M65" i="2"/>
  <c r="L12" i="5" s="1"/>
  <c r="L65" i="2"/>
  <c r="K12" i="5" s="1"/>
  <c r="K65" i="2"/>
  <c r="J12" i="5" s="1"/>
  <c r="J65" i="2"/>
  <c r="I12" i="5" s="1"/>
  <c r="I65" i="2"/>
  <c r="H12" i="5" s="1"/>
  <c r="H65" i="2"/>
  <c r="G12" i="5" s="1"/>
  <c r="G65" i="2"/>
  <c r="F12" i="5" s="1"/>
  <c r="F65" i="2"/>
  <c r="E12" i="5" s="1"/>
  <c r="D12"/>
  <c r="D65" i="2"/>
  <c r="C12" i="5" s="1"/>
  <c r="C57" i="2"/>
  <c r="C45"/>
  <c r="C44"/>
  <c r="C43"/>
  <c r="C42"/>
  <c r="C40"/>
  <c r="C39"/>
  <c r="C38"/>
  <c r="R23" i="8"/>
  <c r="Q23"/>
  <c r="P7" i="5" s="1"/>
  <c r="P23" i="8"/>
  <c r="O7" i="5" s="1"/>
  <c r="O23" i="8"/>
  <c r="N7" i="5" s="1"/>
  <c r="N23" i="8"/>
  <c r="M23"/>
  <c r="L7" i="5" s="1"/>
  <c r="L23" i="8"/>
  <c r="K7" i="5" s="1"/>
  <c r="K23" i="8"/>
  <c r="J7" i="5" s="1"/>
  <c r="J23" i="8"/>
  <c r="I23"/>
  <c r="H7" i="5" s="1"/>
  <c r="G23" i="8"/>
  <c r="F7" i="5" s="1"/>
  <c r="E23" i="8"/>
  <c r="D7" i="5" s="1"/>
  <c r="D23" i="8"/>
  <c r="C7" i="5" s="1"/>
  <c r="C12" i="8"/>
  <c r="H5"/>
  <c r="H23" s="1"/>
  <c r="F5"/>
  <c r="F23" s="1"/>
  <c r="C41" i="11"/>
  <c r="C40"/>
  <c r="C39"/>
  <c r="C38"/>
  <c r="C37"/>
  <c r="C36"/>
  <c r="C35"/>
  <c r="C34"/>
  <c r="R33"/>
  <c r="Q33"/>
  <c r="P33"/>
  <c r="O33"/>
  <c r="M33"/>
  <c r="L33"/>
  <c r="K33"/>
  <c r="I33"/>
  <c r="G33"/>
  <c r="E33"/>
  <c r="D33"/>
  <c r="D56" i="8" l="1"/>
  <c r="C8" i="5" s="1"/>
  <c r="R56" i="8"/>
  <c r="E56"/>
  <c r="K57"/>
  <c r="O57"/>
  <c r="H57"/>
  <c r="J57"/>
  <c r="N57"/>
  <c r="F57"/>
  <c r="E7" i="5"/>
  <c r="Q7"/>
  <c r="M7"/>
  <c r="I7"/>
  <c r="G7"/>
  <c r="L57" i="8"/>
  <c r="P57"/>
  <c r="G57"/>
  <c r="I57"/>
  <c r="M57"/>
  <c r="Q57"/>
  <c r="G23" i="11"/>
  <c r="I23"/>
  <c r="E23"/>
  <c r="D23"/>
  <c r="D27" s="1"/>
  <c r="C21" i="5" s="1"/>
  <c r="J23" i="11"/>
  <c r="O23"/>
  <c r="C22"/>
  <c r="C20"/>
  <c r="C19"/>
  <c r="C18"/>
  <c r="C15"/>
  <c r="C14"/>
  <c r="C13"/>
  <c r="C12"/>
  <c r="R11"/>
  <c r="Q11"/>
  <c r="P11"/>
  <c r="P27" s="1"/>
  <c r="O21" i="5" s="1"/>
  <c r="O11" i="11"/>
  <c r="M11"/>
  <c r="M27" s="1"/>
  <c r="L21" i="5" s="1"/>
  <c r="L11" i="11"/>
  <c r="K11"/>
  <c r="K27" s="1"/>
  <c r="J21" i="5" s="1"/>
  <c r="J11" i="11"/>
  <c r="G11"/>
  <c r="E11"/>
  <c r="R56"/>
  <c r="Q22" i="5" s="1"/>
  <c r="Q56" i="11"/>
  <c r="P22" i="5" s="1"/>
  <c r="P56" i="11"/>
  <c r="O22" i="5" s="1"/>
  <c r="O56" i="11"/>
  <c r="N22" i="5" s="1"/>
  <c r="N56" i="11"/>
  <c r="M22" i="5" s="1"/>
  <c r="M56" i="11"/>
  <c r="L22" i="5" s="1"/>
  <c r="L56" i="11"/>
  <c r="K22" i="5" s="1"/>
  <c r="K56" i="11"/>
  <c r="J22" i="5" s="1"/>
  <c r="J56" i="11"/>
  <c r="I22" i="5" s="1"/>
  <c r="I56" i="11"/>
  <c r="H22" i="5" s="1"/>
  <c r="H56" i="11"/>
  <c r="G22" i="5" s="1"/>
  <c r="G56" i="11"/>
  <c r="F22" i="5" s="1"/>
  <c r="F56" i="11"/>
  <c r="E22" i="5" s="1"/>
  <c r="E56" i="11"/>
  <c r="D22" i="5" s="1"/>
  <c r="D56" i="11"/>
  <c r="C22" i="5" s="1"/>
  <c r="C52" i="11"/>
  <c r="C50"/>
  <c r="N27"/>
  <c r="M21" i="5" s="1"/>
  <c r="H27" i="11"/>
  <c r="G21" i="5" s="1"/>
  <c r="F27" i="11"/>
  <c r="E21" i="5" s="1"/>
  <c r="D57" i="8" l="1"/>
  <c r="E57"/>
  <c r="D8" i="5"/>
  <c r="R57" i="8"/>
  <c r="Q8" i="5"/>
  <c r="I27" i="11"/>
  <c r="R27"/>
  <c r="D57"/>
  <c r="N57"/>
  <c r="K57"/>
  <c r="M57"/>
  <c r="J27"/>
  <c r="O27"/>
  <c r="G27"/>
  <c r="L27"/>
  <c r="Q27"/>
  <c r="E27"/>
  <c r="P57"/>
  <c r="F57"/>
  <c r="H57"/>
  <c r="Q57" l="1"/>
  <c r="P21" i="5"/>
  <c r="J57" i="11"/>
  <c r="I21" i="5"/>
  <c r="L57" i="11"/>
  <c r="K21" i="5"/>
  <c r="R57" i="11"/>
  <c r="Q21" i="5"/>
  <c r="G57" i="11"/>
  <c r="F21" i="5"/>
  <c r="I57" i="11"/>
  <c r="H21" i="5"/>
  <c r="E57" i="11"/>
  <c r="D21" i="5"/>
  <c r="O57" i="11"/>
  <c r="N21" i="5"/>
  <c r="G49" i="6"/>
  <c r="F24" i="5" s="1"/>
  <c r="Q49" i="6"/>
  <c r="P24" i="5" s="1"/>
  <c r="P49" i="6"/>
  <c r="O24" i="5" s="1"/>
  <c r="O49" i="6"/>
  <c r="N24" i="5" s="1"/>
  <c r="N49" i="6"/>
  <c r="M24" i="5" s="1"/>
  <c r="L49" i="6"/>
  <c r="K24" i="5" s="1"/>
  <c r="E49" i="6"/>
  <c r="D24" i="5" s="1"/>
  <c r="K49" i="6"/>
  <c r="J24" i="5" s="1"/>
  <c r="I49" i="6"/>
  <c r="H24" i="5" s="1"/>
  <c r="C26" i="6"/>
  <c r="C27"/>
  <c r="C29"/>
  <c r="C19" i="5"/>
  <c r="F19"/>
  <c r="Q19"/>
  <c r="P19"/>
  <c r="M19"/>
  <c r="L19"/>
  <c r="K19"/>
  <c r="H19"/>
  <c r="G19"/>
  <c r="E19"/>
  <c r="D19"/>
  <c r="N19"/>
  <c r="I19"/>
  <c r="R52" i="7"/>
  <c r="Q20" i="5" s="1"/>
  <c r="Q52" i="7"/>
  <c r="P20" i="5" s="1"/>
  <c r="P52" i="7"/>
  <c r="O20" i="5" s="1"/>
  <c r="O52" i="7"/>
  <c r="N20" i="5" s="1"/>
  <c r="N52" i="7"/>
  <c r="M20" i="5" s="1"/>
  <c r="M52" i="7"/>
  <c r="L20" i="5" s="1"/>
  <c r="L52" i="7"/>
  <c r="K20" i="5" s="1"/>
  <c r="K52" i="7"/>
  <c r="J20" i="5" s="1"/>
  <c r="J52" i="7"/>
  <c r="I20" i="5" s="1"/>
  <c r="I52" i="7"/>
  <c r="H20" i="5" s="1"/>
  <c r="H52" i="7"/>
  <c r="G20" i="5" s="1"/>
  <c r="G52" i="7"/>
  <c r="F20" i="5" s="1"/>
  <c r="F52" i="7"/>
  <c r="E20" i="5" s="1"/>
  <c r="D52" i="7"/>
  <c r="C20" i="5" s="1"/>
  <c r="E52" i="7"/>
  <c r="D20" i="5" s="1"/>
  <c r="C36" i="7"/>
  <c r="C34"/>
  <c r="C31"/>
  <c r="O19" i="5"/>
  <c r="J19"/>
  <c r="J49" i="6"/>
  <c r="I24" i="5" s="1"/>
  <c r="D15" i="6"/>
  <c r="C23" i="5" s="1"/>
  <c r="C10" i="6"/>
  <c r="E15"/>
  <c r="D23" i="5" s="1"/>
  <c r="R49" i="6"/>
  <c r="Q24" i="5" s="1"/>
  <c r="M49" i="6"/>
  <c r="L24" i="5" s="1"/>
  <c r="H49" i="6"/>
  <c r="G24" i="5" s="1"/>
  <c r="F49" i="6"/>
  <c r="E24" i="5" s="1"/>
  <c r="C32" i="6"/>
  <c r="R15"/>
  <c r="Q23" i="5" s="1"/>
  <c r="Q15" i="6"/>
  <c r="P23" i="5" s="1"/>
  <c r="P15" i="6"/>
  <c r="O23" i="5" s="1"/>
  <c r="O15" i="6"/>
  <c r="N23" i="5" s="1"/>
  <c r="N15" i="6"/>
  <c r="M23" i="5" s="1"/>
  <c r="M15" i="6"/>
  <c r="L23" i="5" s="1"/>
  <c r="L15" i="6"/>
  <c r="K23" i="5" s="1"/>
  <c r="K15" i="6"/>
  <c r="J23" i="5" s="1"/>
  <c r="J15" i="6"/>
  <c r="I23" i="5" s="1"/>
  <c r="I15" i="6"/>
  <c r="H23" i="5" s="1"/>
  <c r="H15" i="6"/>
  <c r="G23" i="5" s="1"/>
  <c r="G15" i="6"/>
  <c r="F23" i="5" s="1"/>
  <c r="F15" i="6"/>
  <c r="E23" i="5" s="1"/>
  <c r="C25" i="2"/>
  <c r="C24"/>
  <c r="C22"/>
  <c r="C21"/>
  <c r="C20"/>
  <c r="C17"/>
  <c r="C16"/>
  <c r="C15"/>
  <c r="C14"/>
  <c r="R13"/>
  <c r="Q13"/>
  <c r="P13"/>
  <c r="O13"/>
  <c r="M13"/>
  <c r="L13"/>
  <c r="K13"/>
  <c r="J13"/>
  <c r="I13"/>
  <c r="G13"/>
  <c r="E13"/>
  <c r="K20" i="1"/>
  <c r="N20"/>
  <c r="P20"/>
  <c r="C21" i="9"/>
  <c r="C19"/>
  <c r="C18"/>
  <c r="C17"/>
  <c r="C14"/>
  <c r="C13"/>
  <c r="C12"/>
  <c r="C11"/>
  <c r="R10"/>
  <c r="R29" s="1"/>
  <c r="Q17" i="5" s="1"/>
  <c r="Q10" i="9"/>
  <c r="Q29" s="1"/>
  <c r="P17" i="5" s="1"/>
  <c r="P10" i="9"/>
  <c r="P29" s="1"/>
  <c r="O17" i="5" s="1"/>
  <c r="O10" i="9"/>
  <c r="M10"/>
  <c r="M29" s="1"/>
  <c r="L17" i="5" s="1"/>
  <c r="L10" i="9"/>
  <c r="L29" s="1"/>
  <c r="K17" i="5" s="1"/>
  <c r="K10" i="9"/>
  <c r="K29" s="1"/>
  <c r="J17" i="5" s="1"/>
  <c r="J10" i="9"/>
  <c r="I10"/>
  <c r="I29" s="1"/>
  <c r="H17" i="5" s="1"/>
  <c r="G10" i="9"/>
  <c r="E10"/>
  <c r="E29" s="1"/>
  <c r="D17" i="5" s="1"/>
  <c r="O29" i="9"/>
  <c r="N17" i="5" s="1"/>
  <c r="D5" i="9"/>
  <c r="D29" s="1"/>
  <c r="C17" i="5" s="1"/>
  <c r="J29" i="9"/>
  <c r="I17" i="5" s="1"/>
  <c r="C35" i="9"/>
  <c r="C34"/>
  <c r="C33"/>
  <c r="C32"/>
  <c r="R31"/>
  <c r="Q31"/>
  <c r="P31"/>
  <c r="O31"/>
  <c r="N31"/>
  <c r="N63" s="1"/>
  <c r="M18" i="5" s="1"/>
  <c r="L31" i="9"/>
  <c r="K31"/>
  <c r="K63" s="1"/>
  <c r="J18" i="5" s="1"/>
  <c r="J31" i="9"/>
  <c r="I31"/>
  <c r="H31"/>
  <c r="H63" s="1"/>
  <c r="G18" i="5" s="1"/>
  <c r="G31" i="9"/>
  <c r="E31"/>
  <c r="D31"/>
  <c r="D63" s="1"/>
  <c r="C18" i="5" s="1"/>
  <c r="C58" i="9"/>
  <c r="C56"/>
  <c r="C55"/>
  <c r="C46"/>
  <c r="R45"/>
  <c r="Q45"/>
  <c r="P45"/>
  <c r="O45"/>
  <c r="L45"/>
  <c r="J45"/>
  <c r="I45"/>
  <c r="G45"/>
  <c r="E45"/>
  <c r="C44"/>
  <c r="C42"/>
  <c r="C40"/>
  <c r="M63"/>
  <c r="L18" i="5" s="1"/>
  <c r="F63" i="9"/>
  <c r="E18" i="5" s="1"/>
  <c r="N29" i="9"/>
  <c r="M17" i="5" s="1"/>
  <c r="H29" i="9"/>
  <c r="G17" i="5" s="1"/>
  <c r="F29" i="9"/>
  <c r="E17" i="5" s="1"/>
  <c r="C7" i="9"/>
  <c r="M15" i="5"/>
  <c r="C43" i="10"/>
  <c r="C37"/>
  <c r="C32"/>
  <c r="C39"/>
  <c r="C38"/>
  <c r="C35"/>
  <c r="C34"/>
  <c r="C31"/>
  <c r="C29"/>
  <c r="C19"/>
  <c r="R48"/>
  <c r="Q16" i="5" s="1"/>
  <c r="Q48" i="10"/>
  <c r="P16" i="5" s="1"/>
  <c r="P48" i="10"/>
  <c r="O16" i="5" s="1"/>
  <c r="O48" i="10"/>
  <c r="N16" i="5" s="1"/>
  <c r="N48" i="10"/>
  <c r="M16" i="5" s="1"/>
  <c r="M48" i="10"/>
  <c r="L16" i="5" s="1"/>
  <c r="L48" i="10"/>
  <c r="K16" i="5" s="1"/>
  <c r="K48" i="10"/>
  <c r="J16" i="5" s="1"/>
  <c r="J48" i="10"/>
  <c r="I16" i="5" s="1"/>
  <c r="I48" i="10"/>
  <c r="H16" i="5" s="1"/>
  <c r="H48" i="10"/>
  <c r="G16" i="5" s="1"/>
  <c r="G48" i="10"/>
  <c r="F16" i="5" s="1"/>
  <c r="F48" i="10"/>
  <c r="E16" i="5" s="1"/>
  <c r="D48" i="10"/>
  <c r="C16" i="5" s="1"/>
  <c r="E48" i="10"/>
  <c r="D16" i="5" s="1"/>
  <c r="R10" i="10"/>
  <c r="Q10"/>
  <c r="O10"/>
  <c r="M10"/>
  <c r="L10"/>
  <c r="K10"/>
  <c r="J10"/>
  <c r="I10"/>
  <c r="G10"/>
  <c r="E10"/>
  <c r="C8"/>
  <c r="R5"/>
  <c r="Q5"/>
  <c r="Q16" s="1"/>
  <c r="P15" i="5" s="1"/>
  <c r="P5" i="10"/>
  <c r="P16" s="1"/>
  <c r="O15" i="5" s="1"/>
  <c r="O5" i="10"/>
  <c r="M5"/>
  <c r="L5"/>
  <c r="K5"/>
  <c r="J5"/>
  <c r="I5"/>
  <c r="G5"/>
  <c r="R14"/>
  <c r="O14"/>
  <c r="L14"/>
  <c r="J14"/>
  <c r="I14"/>
  <c r="D14"/>
  <c r="D16" s="1"/>
  <c r="C15" i="5" s="1"/>
  <c r="R60" i="10"/>
  <c r="Q60"/>
  <c r="P60"/>
  <c r="O60"/>
  <c r="N60"/>
  <c r="M60"/>
  <c r="L60"/>
  <c r="K60"/>
  <c r="J60"/>
  <c r="I60"/>
  <c r="G60"/>
  <c r="E60"/>
  <c r="C60"/>
  <c r="R59"/>
  <c r="Q59"/>
  <c r="P59"/>
  <c r="O59"/>
  <c r="N59"/>
  <c r="M59"/>
  <c r="L59"/>
  <c r="K59"/>
  <c r="J59"/>
  <c r="I59"/>
  <c r="G59"/>
  <c r="E59"/>
  <c r="C59"/>
  <c r="R58"/>
  <c r="Q58"/>
  <c r="P58"/>
  <c r="O58"/>
  <c r="N58"/>
  <c r="M58"/>
  <c r="L58"/>
  <c r="K58"/>
  <c r="J58"/>
  <c r="I58"/>
  <c r="G58"/>
  <c r="E58"/>
  <c r="C58"/>
  <c r="R57"/>
  <c r="Q57"/>
  <c r="P57"/>
  <c r="O57"/>
  <c r="N57"/>
  <c r="M57"/>
  <c r="L57"/>
  <c r="K57"/>
  <c r="J57"/>
  <c r="I57"/>
  <c r="G57"/>
  <c r="E57"/>
  <c r="C57"/>
  <c r="H16"/>
  <c r="G15" i="5" s="1"/>
  <c r="F16" i="10"/>
  <c r="E15" i="5" s="1"/>
  <c r="N16" i="10"/>
  <c r="G63" i="9" l="1"/>
  <c r="F18" i="5" s="1"/>
  <c r="D49" i="6"/>
  <c r="C24" i="5" s="1"/>
  <c r="G53" i="7"/>
  <c r="K53"/>
  <c r="O53"/>
  <c r="L53"/>
  <c r="D53"/>
  <c r="E53"/>
  <c r="H53"/>
  <c r="P53"/>
  <c r="M53"/>
  <c r="J53"/>
  <c r="I53"/>
  <c r="Q53"/>
  <c r="F53"/>
  <c r="N53"/>
  <c r="R53"/>
  <c r="I50" i="6"/>
  <c r="Q50"/>
  <c r="F50"/>
  <c r="J50"/>
  <c r="R50"/>
  <c r="K50"/>
  <c r="O50"/>
  <c r="H50"/>
  <c r="L50"/>
  <c r="P50"/>
  <c r="E50"/>
  <c r="M50"/>
  <c r="N50"/>
  <c r="G50"/>
  <c r="E63" i="9"/>
  <c r="D18" i="5" s="1"/>
  <c r="O63" i="9"/>
  <c r="N18" i="5" s="1"/>
  <c r="P63" i="9"/>
  <c r="O18" i="5" s="1"/>
  <c r="J63" i="9"/>
  <c r="G29"/>
  <c r="Q63"/>
  <c r="L63"/>
  <c r="K18" i="5" s="1"/>
  <c r="R63" i="9"/>
  <c r="Q18" i="5" s="1"/>
  <c r="I63" i="9"/>
  <c r="D64"/>
  <c r="H64"/>
  <c r="F64"/>
  <c r="N64"/>
  <c r="K64"/>
  <c r="M64"/>
  <c r="K16" i="10"/>
  <c r="J15" i="5" s="1"/>
  <c r="R16" i="10"/>
  <c r="Q15" i="5" s="1"/>
  <c r="J16" i="10"/>
  <c r="I15" i="5" s="1"/>
  <c r="F49" i="10"/>
  <c r="M16"/>
  <c r="L15" i="5" s="1"/>
  <c r="G16" i="10"/>
  <c r="F15" i="5" s="1"/>
  <c r="L16" i="10"/>
  <c r="K15" i="5" s="1"/>
  <c r="O16" i="10"/>
  <c r="N15" i="5" s="1"/>
  <c r="D49" i="10"/>
  <c r="I16"/>
  <c r="H15" i="5" s="1"/>
  <c r="H49" i="10"/>
  <c r="E16"/>
  <c r="D15" i="5" s="1"/>
  <c r="P49" i="10"/>
  <c r="R49"/>
  <c r="J49"/>
  <c r="N49"/>
  <c r="M49"/>
  <c r="Q49"/>
  <c r="L64" i="9" l="1"/>
  <c r="E64"/>
  <c r="O64"/>
  <c r="R64"/>
  <c r="Q64"/>
  <c r="P18" i="5"/>
  <c r="I64" i="9"/>
  <c r="H18" i="5"/>
  <c r="G64" i="9"/>
  <c r="F17" i="5"/>
  <c r="P64" i="9"/>
  <c r="J64"/>
  <c r="I18" i="5"/>
  <c r="D50" i="6"/>
  <c r="L49" i="10"/>
  <c r="E49"/>
  <c r="I49"/>
  <c r="G49"/>
  <c r="K49"/>
  <c r="O49"/>
  <c r="P11" i="13" l="1"/>
  <c r="Q11" s="1"/>
  <c r="O8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7"/>
  <c r="P7"/>
  <c r="Q7" s="1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D7"/>
  <c r="C7"/>
  <c r="D6"/>
  <c r="C6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4"/>
  <c r="Q24" s="1"/>
  <c r="P23"/>
  <c r="Q23" s="1"/>
  <c r="P21"/>
  <c r="Q21" s="1"/>
  <c r="P19"/>
  <c r="Q19" s="1"/>
  <c r="P17"/>
  <c r="T17" s="1"/>
  <c r="P14"/>
  <c r="P13"/>
  <c r="P12"/>
  <c r="Q12" s="1"/>
  <c r="P10"/>
  <c r="Q10" s="1"/>
  <c r="P9"/>
  <c r="T9" s="1"/>
  <c r="P8"/>
  <c r="Q8" s="1"/>
  <c r="C10" i="12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F9"/>
  <c r="E9"/>
  <c r="D9"/>
  <c r="C9"/>
  <c r="Q9" i="13" l="1"/>
  <c r="Q17"/>
  <c r="Q13"/>
  <c r="Q14"/>
  <c r="T14"/>
  <c r="P22"/>
  <c r="Q22" s="1"/>
  <c r="P15"/>
  <c r="Q15" s="1"/>
  <c r="P20"/>
  <c r="Q20" s="1"/>
  <c r="P25"/>
  <c r="Q25" s="1"/>
  <c r="P16"/>
  <c r="Q16" s="1"/>
  <c r="P18"/>
  <c r="Q18" s="1"/>
  <c r="E8" i="1" l="1"/>
  <c r="E26" s="1"/>
  <c r="D9" i="5" s="1"/>
  <c r="G8" i="1"/>
  <c r="G26" s="1"/>
  <c r="F9" i="5" s="1"/>
  <c r="I26" i="1"/>
  <c r="H9" i="5" s="1"/>
  <c r="H84" i="4"/>
  <c r="F84"/>
  <c r="D84"/>
  <c r="H83"/>
  <c r="F83"/>
  <c r="D83"/>
  <c r="R82"/>
  <c r="Q82"/>
  <c r="P82"/>
  <c r="O82"/>
  <c r="N82"/>
  <c r="M82"/>
  <c r="L82"/>
  <c r="K82"/>
  <c r="J82"/>
  <c r="I82"/>
  <c r="G82"/>
  <c r="E82"/>
  <c r="C82"/>
  <c r="R81"/>
  <c r="Q81"/>
  <c r="P81"/>
  <c r="O81"/>
  <c r="N81"/>
  <c r="M81"/>
  <c r="L81"/>
  <c r="K81"/>
  <c r="J81"/>
  <c r="I81"/>
  <c r="G81"/>
  <c r="E81"/>
  <c r="C81"/>
  <c r="R80"/>
  <c r="Q80"/>
  <c r="P80"/>
  <c r="O80"/>
  <c r="N80"/>
  <c r="M80"/>
  <c r="L80"/>
  <c r="K80"/>
  <c r="J80"/>
  <c r="I80"/>
  <c r="G80"/>
  <c r="E80"/>
  <c r="C80"/>
  <c r="C84" s="1"/>
  <c r="R79"/>
  <c r="Q79"/>
  <c r="P79"/>
  <c r="O79"/>
  <c r="N79"/>
  <c r="M79"/>
  <c r="L79"/>
  <c r="K79"/>
  <c r="K83" s="1"/>
  <c r="J79"/>
  <c r="I79"/>
  <c r="G79"/>
  <c r="E79"/>
  <c r="E83" s="1"/>
  <c r="C79"/>
  <c r="R70"/>
  <c r="Q6" i="5" s="1"/>
  <c r="Q70" i="4"/>
  <c r="P6" i="5" s="1"/>
  <c r="P70" i="4"/>
  <c r="O6" i="5" s="1"/>
  <c r="O70" i="4"/>
  <c r="N6" i="5" s="1"/>
  <c r="N70" i="4"/>
  <c r="M6" i="5" s="1"/>
  <c r="M70" i="4"/>
  <c r="L70"/>
  <c r="K6" i="5" s="1"/>
  <c r="K70" i="4"/>
  <c r="J70"/>
  <c r="I6" i="5" s="1"/>
  <c r="I70" i="4"/>
  <c r="H70"/>
  <c r="G6" i="5" s="1"/>
  <c r="G70" i="4"/>
  <c r="F6" i="5" s="1"/>
  <c r="F70" i="4"/>
  <c r="E6" i="5" s="1"/>
  <c r="E70" i="4"/>
  <c r="D6" i="5" s="1"/>
  <c r="D70" i="4"/>
  <c r="C6" i="5" s="1"/>
  <c r="C48" i="4"/>
  <c r="AD37"/>
  <c r="AC37"/>
  <c r="AB37"/>
  <c r="AA37"/>
  <c r="Z37"/>
  <c r="Y37"/>
  <c r="X37"/>
  <c r="W37"/>
  <c r="V37"/>
  <c r="U37"/>
  <c r="T37"/>
  <c r="S37"/>
  <c r="AD36"/>
  <c r="AC36"/>
  <c r="AB36"/>
  <c r="AA36"/>
  <c r="Z36"/>
  <c r="Y36"/>
  <c r="X36"/>
  <c r="W36"/>
  <c r="V36"/>
  <c r="U36"/>
  <c r="T36"/>
  <c r="S36"/>
  <c r="N36"/>
  <c r="L36"/>
  <c r="K36"/>
  <c r="J36"/>
  <c r="I36"/>
  <c r="H36"/>
  <c r="F36"/>
  <c r="E5" i="5" s="1"/>
  <c r="D36" i="4"/>
  <c r="C5" i="5" s="1"/>
  <c r="R25" i="4"/>
  <c r="R36" s="1"/>
  <c r="Q25"/>
  <c r="Q36" s="1"/>
  <c r="P5" i="5" s="1"/>
  <c r="P25" i="4"/>
  <c r="P36" s="1"/>
  <c r="O25"/>
  <c r="O36" s="1"/>
  <c r="N5" i="5" s="1"/>
  <c r="M25" i="4"/>
  <c r="M36" s="1"/>
  <c r="G25"/>
  <c r="G36" s="1"/>
  <c r="F5" i="5" s="1"/>
  <c r="E25" i="4"/>
  <c r="E36" s="1"/>
  <c r="D5" i="5" s="1"/>
  <c r="R56" i="3"/>
  <c r="Q14" i="5" s="1"/>
  <c r="Q56" i="3"/>
  <c r="P14" i="5" s="1"/>
  <c r="P56" i="3"/>
  <c r="O56"/>
  <c r="N14" i="5" s="1"/>
  <c r="N56" i="3"/>
  <c r="M14" i="5" s="1"/>
  <c r="M56" i="3"/>
  <c r="L14" i="5" s="1"/>
  <c r="L56" i="3"/>
  <c r="K14" i="5" s="1"/>
  <c r="K56" i="3"/>
  <c r="J14" i="5" s="1"/>
  <c r="J56" i="3"/>
  <c r="I14" i="5" s="1"/>
  <c r="I56" i="3"/>
  <c r="H14" i="5" s="1"/>
  <c r="H56" i="3"/>
  <c r="G14" i="5" s="1"/>
  <c r="G56" i="3"/>
  <c r="F14" i="5" s="1"/>
  <c r="F56" i="3"/>
  <c r="E56"/>
  <c r="D14" i="5" s="1"/>
  <c r="D56" i="3"/>
  <c r="C48"/>
  <c r="C47"/>
  <c r="C44"/>
  <c r="C34"/>
  <c r="C32"/>
  <c r="C31"/>
  <c r="C30"/>
  <c r="N24"/>
  <c r="L24"/>
  <c r="K24"/>
  <c r="J24"/>
  <c r="I24"/>
  <c r="H24"/>
  <c r="G13" i="5" s="1"/>
  <c r="F24" i="3"/>
  <c r="E13" i="5" s="1"/>
  <c r="D24" i="3"/>
  <c r="C13" i="5" s="1"/>
  <c r="R11" i="3"/>
  <c r="R24" s="1"/>
  <c r="Q11"/>
  <c r="Q24" s="1"/>
  <c r="P13" i="5" s="1"/>
  <c r="P11" i="3"/>
  <c r="P24" s="1"/>
  <c r="O11"/>
  <c r="O24" s="1"/>
  <c r="N13" i="5" s="1"/>
  <c r="M11" i="3"/>
  <c r="M24" s="1"/>
  <c r="G11"/>
  <c r="G24" s="1"/>
  <c r="F13" i="5" s="1"/>
  <c r="E11" i="3"/>
  <c r="E24" s="1"/>
  <c r="D13" i="5" s="1"/>
  <c r="N30" i="2"/>
  <c r="N66" s="1"/>
  <c r="L30"/>
  <c r="K30"/>
  <c r="J30"/>
  <c r="J66" s="1"/>
  <c r="I30"/>
  <c r="H30"/>
  <c r="F30"/>
  <c r="D30"/>
  <c r="R30"/>
  <c r="Q30"/>
  <c r="Q66" s="1"/>
  <c r="P30"/>
  <c r="O30"/>
  <c r="O66" s="1"/>
  <c r="M30"/>
  <c r="G30"/>
  <c r="G66" s="1"/>
  <c r="E30"/>
  <c r="E66" s="1"/>
  <c r="R68" i="1"/>
  <c r="Q68"/>
  <c r="P68"/>
  <c r="O68"/>
  <c r="N68"/>
  <c r="M68"/>
  <c r="L68"/>
  <c r="K68"/>
  <c r="J68"/>
  <c r="I68"/>
  <c r="G68"/>
  <c r="E68"/>
  <c r="C68"/>
  <c r="R67"/>
  <c r="Q67"/>
  <c r="P67"/>
  <c r="O67"/>
  <c r="N67"/>
  <c r="M67"/>
  <c r="L67"/>
  <c r="K67"/>
  <c r="J67"/>
  <c r="I67"/>
  <c r="G67"/>
  <c r="E67"/>
  <c r="C67"/>
  <c r="R66"/>
  <c r="Q66"/>
  <c r="P66"/>
  <c r="O66"/>
  <c r="N66"/>
  <c r="M66"/>
  <c r="L66"/>
  <c r="K66"/>
  <c r="J66"/>
  <c r="I66"/>
  <c r="G66"/>
  <c r="E66"/>
  <c r="C66"/>
  <c r="R65"/>
  <c r="Q65"/>
  <c r="P65"/>
  <c r="O65"/>
  <c r="N65"/>
  <c r="M65"/>
  <c r="L65"/>
  <c r="K65"/>
  <c r="J65"/>
  <c r="I65"/>
  <c r="G65"/>
  <c r="E65"/>
  <c r="C65"/>
  <c r="R56"/>
  <c r="Q10" i="5" s="1"/>
  <c r="Q56" i="1"/>
  <c r="P10" i="5" s="1"/>
  <c r="P56" i="1"/>
  <c r="O10" i="5" s="1"/>
  <c r="O56" i="1"/>
  <c r="N10" i="5" s="1"/>
  <c r="N56" i="1"/>
  <c r="M10" i="5" s="1"/>
  <c r="M56" i="1"/>
  <c r="L10" i="5" s="1"/>
  <c r="L56" i="1"/>
  <c r="K10" i="5" s="1"/>
  <c r="K56" i="1"/>
  <c r="J10" i="5" s="1"/>
  <c r="J56" i="1"/>
  <c r="I10" i="5" s="1"/>
  <c r="I56" i="1"/>
  <c r="H10" i="5" s="1"/>
  <c r="H56" i="1"/>
  <c r="G10" i="5" s="1"/>
  <c r="G56" i="1"/>
  <c r="F10" i="5" s="1"/>
  <c r="F56" i="1"/>
  <c r="E10" i="5" s="1"/>
  <c r="E56" i="1"/>
  <c r="D10" i="5" s="1"/>
  <c r="D56" i="1"/>
  <c r="C10" i="5" s="1"/>
  <c r="C37" i="1"/>
  <c r="C35"/>
  <c r="C34"/>
  <c r="C33"/>
  <c r="C32"/>
  <c r="C29"/>
  <c r="N26"/>
  <c r="M9" i="5" s="1"/>
  <c r="M26" i="1"/>
  <c r="L9" i="5" s="1"/>
  <c r="H26" i="1"/>
  <c r="G9" i="5" s="1"/>
  <c r="F26" i="1"/>
  <c r="D26"/>
  <c r="C9" i="5" s="1"/>
  <c r="C14" i="1"/>
  <c r="C13"/>
  <c r="C12"/>
  <c r="C11"/>
  <c r="C10"/>
  <c r="R8"/>
  <c r="R26" s="1"/>
  <c r="Q9" i="5" s="1"/>
  <c r="Q8" i="1"/>
  <c r="Q26" s="1"/>
  <c r="P9" i="5" s="1"/>
  <c r="P8" i="1"/>
  <c r="P26" s="1"/>
  <c r="O9" i="5" s="1"/>
  <c r="O8" i="1"/>
  <c r="O26" s="1"/>
  <c r="N9" i="5" s="1"/>
  <c r="L8" i="1"/>
  <c r="L26" s="1"/>
  <c r="K9" i="5" s="1"/>
  <c r="K8" i="1"/>
  <c r="K26" s="1"/>
  <c r="J9" i="5" s="1"/>
  <c r="J8" i="1"/>
  <c r="J26" s="1"/>
  <c r="I9" i="5" s="1"/>
  <c r="N26" l="1"/>
  <c r="F26"/>
  <c r="I83" i="4"/>
  <c r="M83"/>
  <c r="Q83"/>
  <c r="G84"/>
  <c r="L84"/>
  <c r="P84"/>
  <c r="O83"/>
  <c r="J84"/>
  <c r="N84"/>
  <c r="R84"/>
  <c r="C83"/>
  <c r="J83"/>
  <c r="N83"/>
  <c r="R83"/>
  <c r="D26" i="5"/>
  <c r="P26"/>
  <c r="Y38" i="4"/>
  <c r="L5" i="5"/>
  <c r="AB38" i="4"/>
  <c r="O5" i="5"/>
  <c r="J71" i="4"/>
  <c r="I5" i="5"/>
  <c r="H71" i="4"/>
  <c r="G5" i="5"/>
  <c r="X38" i="4"/>
  <c r="K5" i="5"/>
  <c r="R71" i="4"/>
  <c r="Q5" i="5"/>
  <c r="U38" i="4"/>
  <c r="H5" i="5"/>
  <c r="G83" i="4"/>
  <c r="L83"/>
  <c r="P83"/>
  <c r="E84"/>
  <c r="K84"/>
  <c r="O84"/>
  <c r="I84"/>
  <c r="M84"/>
  <c r="Q84"/>
  <c r="N71"/>
  <c r="M5" i="5"/>
  <c r="W38" i="4"/>
  <c r="J5" i="5"/>
  <c r="I26"/>
  <c r="M26"/>
  <c r="Q26"/>
  <c r="I71" i="4"/>
  <c r="H6" i="5"/>
  <c r="H26" s="1"/>
  <c r="M71" i="4"/>
  <c r="L6" i="5"/>
  <c r="L26" s="1"/>
  <c r="G26"/>
  <c r="K26"/>
  <c r="K71" i="4"/>
  <c r="J6" i="5"/>
  <c r="J26" s="1"/>
  <c r="M66" i="2"/>
  <c r="C11" i="5"/>
  <c r="C25" s="1"/>
  <c r="D66" i="2"/>
  <c r="P66"/>
  <c r="E11" i="5"/>
  <c r="F66" i="2"/>
  <c r="K66"/>
  <c r="R66"/>
  <c r="I66"/>
  <c r="G11" i="5"/>
  <c r="G25" s="1"/>
  <c r="H66" i="2"/>
  <c r="L66"/>
  <c r="M11" i="5"/>
  <c r="N11"/>
  <c r="N25" s="1"/>
  <c r="I11"/>
  <c r="D11"/>
  <c r="D25" s="1"/>
  <c r="O11"/>
  <c r="F11"/>
  <c r="F25" s="1"/>
  <c r="P11"/>
  <c r="P25" s="1"/>
  <c r="K11"/>
  <c r="L11"/>
  <c r="Q11"/>
  <c r="H11"/>
  <c r="J11"/>
  <c r="F57" i="1"/>
  <c r="E9" i="5"/>
  <c r="D57" i="3"/>
  <c r="C14" i="5"/>
  <c r="C26" s="1"/>
  <c r="P57" i="3"/>
  <c r="O14" i="5"/>
  <c r="O26" s="1"/>
  <c r="F57" i="3"/>
  <c r="E14" i="5"/>
  <c r="E26" s="1"/>
  <c r="K13"/>
  <c r="Q13"/>
  <c r="L13"/>
  <c r="M13"/>
  <c r="J13"/>
  <c r="O13"/>
  <c r="K57" i="3"/>
  <c r="H13" i="5"/>
  <c r="I13"/>
  <c r="F71" i="4"/>
  <c r="D71"/>
  <c r="T38"/>
  <c r="G71"/>
  <c r="AA38"/>
  <c r="O71"/>
  <c r="E71"/>
  <c r="S38"/>
  <c r="AC38"/>
  <c r="Q71"/>
  <c r="V38"/>
  <c r="Z38"/>
  <c r="AD38"/>
  <c r="L71"/>
  <c r="P71"/>
  <c r="J57" i="3"/>
  <c r="N57"/>
  <c r="R57"/>
  <c r="I57"/>
  <c r="H57"/>
  <c r="L57"/>
  <c r="M57"/>
  <c r="O57"/>
  <c r="E57"/>
  <c r="G57"/>
  <c r="Q57"/>
  <c r="R57" i="1"/>
  <c r="N57"/>
  <c r="D57"/>
  <c r="H57"/>
  <c r="E57"/>
  <c r="I57"/>
  <c r="M57"/>
  <c r="Q57"/>
  <c r="J57"/>
  <c r="K57"/>
  <c r="L57"/>
  <c r="P57"/>
  <c r="O57"/>
  <c r="G57"/>
  <c r="I25" i="5" l="1"/>
  <c r="Q25"/>
  <c r="O25"/>
  <c r="L25"/>
  <c r="J25"/>
  <c r="K25"/>
  <c r="H25"/>
  <c r="E25"/>
  <c r="M25"/>
</calcChain>
</file>

<file path=xl/sharedStrings.xml><?xml version="1.0" encoding="utf-8"?>
<sst xmlns="http://schemas.openxmlformats.org/spreadsheetml/2006/main" count="1042" uniqueCount="354">
  <si>
    <t>№ технол карты</t>
  </si>
  <si>
    <t>Наименование блюда</t>
  </si>
  <si>
    <t>Выход блюд</t>
  </si>
  <si>
    <t>Вода гр</t>
  </si>
  <si>
    <t>Белки</t>
  </si>
  <si>
    <t>в т.ч.животные</t>
  </si>
  <si>
    <t>Жиры</t>
  </si>
  <si>
    <t>в т.ч.растительные</t>
  </si>
  <si>
    <t>Углеводы</t>
  </si>
  <si>
    <t>К/кал</t>
  </si>
  <si>
    <t xml:space="preserve">Витамин </t>
  </si>
  <si>
    <t>Минеральные вещества</t>
  </si>
  <si>
    <t>В 1</t>
  </si>
  <si>
    <t>С</t>
  </si>
  <si>
    <t>А</t>
  </si>
  <si>
    <t>Е</t>
  </si>
  <si>
    <t>Са</t>
  </si>
  <si>
    <t>Р</t>
  </si>
  <si>
    <t>Mg</t>
  </si>
  <si>
    <t>Fe</t>
  </si>
  <si>
    <t>День третий</t>
  </si>
  <si>
    <t>ЗАВТРАК</t>
  </si>
  <si>
    <t>сосиска или сарделька</t>
  </si>
  <si>
    <t xml:space="preserve">масло сливочное </t>
  </si>
  <si>
    <t>капуста белокачанная</t>
  </si>
  <si>
    <t>морковь</t>
  </si>
  <si>
    <t>лук репчатый</t>
  </si>
  <si>
    <t>томатное пюре</t>
  </si>
  <si>
    <t>мука</t>
  </si>
  <si>
    <t>сахар</t>
  </si>
  <si>
    <t>Яйцо отварное</t>
  </si>
  <si>
    <t xml:space="preserve">яйцо куриное </t>
  </si>
  <si>
    <t>1/40</t>
  </si>
  <si>
    <t>Чай с сахаром</t>
  </si>
  <si>
    <t>чай</t>
  </si>
  <si>
    <t>ПР</t>
  </si>
  <si>
    <t xml:space="preserve">Хлеб пшеничный </t>
  </si>
  <si>
    <t>Хлеб пшеничный</t>
  </si>
  <si>
    <t xml:space="preserve">Плоды и ягоды свежие </t>
  </si>
  <si>
    <t>банан</t>
  </si>
  <si>
    <t>ИТОГО</t>
  </si>
  <si>
    <t>ОБЕД</t>
  </si>
  <si>
    <t>Салат из свежих  огурцов</t>
  </si>
  <si>
    <t>огурец свежий</t>
  </si>
  <si>
    <t>масло растительное</t>
  </si>
  <si>
    <t>Борщ с капустой и картофелем</t>
  </si>
  <si>
    <t>свекла</t>
  </si>
  <si>
    <t>капуста свежая</t>
  </si>
  <si>
    <t>картофель</t>
  </si>
  <si>
    <t>лук</t>
  </si>
  <si>
    <t>бульон или вода</t>
  </si>
  <si>
    <t>соль иодировання</t>
  </si>
  <si>
    <t>сухарь</t>
  </si>
  <si>
    <t>масло сливочное</t>
  </si>
  <si>
    <t>вода</t>
  </si>
  <si>
    <t>кислота лимонная</t>
  </si>
  <si>
    <t>Яблоки свежие</t>
  </si>
  <si>
    <t>ВСЕГО</t>
  </si>
  <si>
    <t>БЕЛКИ</t>
  </si>
  <si>
    <t>ЖИРЫ</t>
  </si>
  <si>
    <t>УГЛЕВОДЫ</t>
  </si>
  <si>
    <t>ЭН ЦЕННОСТЬ</t>
  </si>
  <si>
    <t>В1</t>
  </si>
  <si>
    <t>В2</t>
  </si>
  <si>
    <t>СА</t>
  </si>
  <si>
    <t>%</t>
  </si>
  <si>
    <t>норма в процентах завтрак</t>
  </si>
  <si>
    <t>норма в процентах обед</t>
  </si>
  <si>
    <t>День первый</t>
  </si>
  <si>
    <t>крупа рисовая</t>
  </si>
  <si>
    <t>крупа пшено</t>
  </si>
  <si>
    <t>молоко</t>
  </si>
  <si>
    <t>Сыр порциями</t>
  </si>
  <si>
    <t>Сыр</t>
  </si>
  <si>
    <t>Какао с молоком</t>
  </si>
  <si>
    <t>какао - порошок</t>
  </si>
  <si>
    <t>макаронные изделия</t>
  </si>
  <si>
    <t>День второй</t>
  </si>
  <si>
    <t>огурцы свежие</t>
  </si>
  <si>
    <t>крупа овсяная</t>
  </si>
  <si>
    <t>Масло сливочное</t>
  </si>
  <si>
    <t>Чай с лимоном</t>
  </si>
  <si>
    <t>лимон</t>
  </si>
  <si>
    <t>яблоки свежие</t>
  </si>
  <si>
    <t>Щи из свежей капусты с картофелем</t>
  </si>
  <si>
    <t>печень говяжья</t>
  </si>
  <si>
    <t>сметана</t>
  </si>
  <si>
    <t xml:space="preserve"> Пюре картофельное</t>
  </si>
  <si>
    <t>Апельсин</t>
  </si>
  <si>
    <t>"СОГЛАСОВАНО"</t>
  </si>
  <si>
    <t>"УТВЕРЖДАЮ"</t>
  </si>
  <si>
    <t>Зам. Начальника ТО Управления</t>
  </si>
  <si>
    <t>Роспотребнадзора по ЕАО по</t>
  </si>
  <si>
    <t>Октябрьскому и Ленинскому районам</t>
  </si>
  <si>
    <r>
      <t>Пр. №___ от"___"____20</t>
    </r>
    <r>
      <rPr>
        <b/>
        <u/>
        <sz val="11"/>
        <color indexed="8"/>
        <rFont val="Times New Roman"/>
        <family val="1"/>
        <charset val="204"/>
      </rPr>
      <t>____ г.</t>
    </r>
  </si>
  <si>
    <t>____________________Коренева Н.А.</t>
  </si>
  <si>
    <t>"____"_________________20____г</t>
  </si>
  <si>
    <t>ПРИМЕРНОЕ ДЕСЯТИДНЕВНОЕ МЕНЮ</t>
  </si>
  <si>
    <t>рационов питания</t>
  </si>
  <si>
    <t xml:space="preserve">для возрастных групп 7-11 лет </t>
  </si>
  <si>
    <t>2019   -    2020 г</t>
  </si>
  <si>
    <t xml:space="preserve">Каша жидкая  молочная из гречневой крупы  </t>
  </si>
  <si>
    <t>круа гречневая</t>
  </si>
  <si>
    <t>крупа (рисили гречка)</t>
  </si>
  <si>
    <t>соль иодированная</t>
  </si>
  <si>
    <t>навага</t>
  </si>
  <si>
    <t>вода или бульон 80</t>
  </si>
  <si>
    <t>Макаронные изделия отварные</t>
  </si>
  <si>
    <t>макароны</t>
  </si>
  <si>
    <r>
      <t xml:space="preserve"> </t>
    </r>
    <r>
      <rPr>
        <b/>
        <sz val="12"/>
        <color rgb="FF000000"/>
        <rFont val="Times New Roman"/>
        <family val="1"/>
        <charset val="204"/>
      </rPr>
      <t>Рыба   тушенная в томате с овощами</t>
    </r>
    <r>
      <rPr>
        <b/>
        <sz val="12"/>
        <color theme="1"/>
        <rFont val="Times New Roman"/>
        <family val="1"/>
        <charset val="204"/>
      </rPr>
      <t xml:space="preserve"> </t>
    </r>
  </si>
  <si>
    <t>печенье сахарное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</si>
  <si>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</si>
  <si>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</si>
  <si>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</si>
  <si>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</si>
  <si>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</si>
  <si>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</si>
  <si>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</si>
  <si>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</si>
  <si>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</si>
  <si>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</si>
  <si>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</t>
  </si>
  <si>
    <t>15,4-19,25</t>
  </si>
  <si>
    <t>23,1-26,95</t>
  </si>
  <si>
    <t>15,8-19,75</t>
  </si>
  <si>
    <t>23,7-27,65</t>
  </si>
  <si>
    <t>67-83,75</t>
  </si>
  <si>
    <t>100,5-117,25</t>
  </si>
  <si>
    <t>470-587,5</t>
  </si>
  <si>
    <t>705-822,5</t>
  </si>
  <si>
    <t>НОРМА</t>
  </si>
  <si>
    <t>Потребность в пищевых веществах и энергии</t>
  </si>
  <si>
    <t>обучающихся общеобразовательных учреждений в возрасте</t>
  </si>
  <si>
    <t>с 7 до 11 и с 11 лет и старше</t>
  </si>
  <si>
    <t>Название пищевых веществ</t>
  </si>
  <si>
    <t>Усредненная потребность в пищевых веществах для обучающихся двух возрастных групп</t>
  </si>
  <si>
    <t>с 7 до 11 лет</t>
  </si>
  <si>
    <t>Белки (г)</t>
  </si>
  <si>
    <t>Жиры (г)</t>
  </si>
  <si>
    <t>Углеводы (г)</t>
  </si>
  <si>
    <t>Энергетическая ценность (ккал)</t>
  </si>
  <si>
    <t>Витамин B1 (мг)</t>
  </si>
  <si>
    <t>Витамин B2 (мг)</t>
  </si>
  <si>
    <t>Витамин C (мг)</t>
  </si>
  <si>
    <t>Витамин A (мг рет. экв)</t>
  </si>
  <si>
    <t>Витамин E (мг ток. экв)</t>
  </si>
  <si>
    <t>Кальций (мг)</t>
  </si>
  <si>
    <t>Фосфор (мг)</t>
  </si>
  <si>
    <t>Магний (мг)</t>
  </si>
  <si>
    <t>Железо (мг)</t>
  </si>
  <si>
    <t>Цинк (мг)</t>
  </si>
  <si>
    <t>Йод (мг)</t>
  </si>
  <si>
    <t>завтрак</t>
  </si>
  <si>
    <t>обед</t>
  </si>
  <si>
    <t>Норма 10 дней</t>
  </si>
  <si>
    <t>Факт за 10 дней</t>
  </si>
  <si>
    <t>% выполнения</t>
  </si>
  <si>
    <t>Дрожжи хлебопекарные</t>
  </si>
  <si>
    <t>Какао</t>
  </si>
  <si>
    <t>Картофель</t>
  </si>
  <si>
    <t>Кисломолочные продукты (массовая доля жира 2,5%, 3,2%)</t>
  </si>
  <si>
    <t>Колбасные изделия</t>
  </si>
  <si>
    <t>Кондитерские изделия</t>
  </si>
  <si>
    <t>Крупы, бобовые</t>
  </si>
  <si>
    <t>Макаронные изделия</t>
  </si>
  <si>
    <t>Масло растительное</t>
  </si>
  <si>
    <t>Молоко (массовая доля жира 2,5%, 3,2%)</t>
  </si>
  <si>
    <t>Мука пшеничная</t>
  </si>
  <si>
    <t>Мясо жилованное (мясо на кости) 1 кат.</t>
  </si>
  <si>
    <t>Овощи свежие, зелень</t>
  </si>
  <si>
    <t>Рыба-филе</t>
  </si>
  <si>
    <t>Сахар &lt;***&gt;</t>
  </si>
  <si>
    <t>Сметана (массовая доля жира не более 15%)</t>
  </si>
  <si>
    <t>Соки плодоовощные, напитки витаминизированные, в т.ч. инстантные</t>
  </si>
  <si>
    <t>Соль</t>
  </si>
  <si>
    <t>Творог (массовая доля жира не более 9%)</t>
  </si>
  <si>
    <t>Фрукты (плоды) свежие</t>
  </si>
  <si>
    <t>Фрукты (плоды) сухие, в т.ч. шиповник</t>
  </si>
  <si>
    <t>Хлеб ржаной (ржано-пшеничный)</t>
  </si>
  <si>
    <t>Цыплята 1 категории потрошеные (куры 1 кат. п/п)</t>
  </si>
  <si>
    <t>Чай</t>
  </si>
  <si>
    <t>Яйцо диетическое</t>
  </si>
  <si>
    <t>Наименование продуктов</t>
  </si>
  <si>
    <t>Количество продуктов в зависимости от возраста обучающихся</t>
  </si>
  <si>
    <t>в г, мл, нетто</t>
  </si>
  <si>
    <t>7 - 10 лет</t>
  </si>
  <si>
    <t>День четвертый</t>
  </si>
  <si>
    <t>Макароны отварные с сыром</t>
  </si>
  <si>
    <t>груша</t>
  </si>
  <si>
    <t xml:space="preserve">Кисломолочный продукт </t>
  </si>
  <si>
    <t>Йогурт 3,2%</t>
  </si>
  <si>
    <t>150/15</t>
  </si>
  <si>
    <t>сыр твердый</t>
  </si>
  <si>
    <t xml:space="preserve">Сок фруктовый </t>
  </si>
  <si>
    <t xml:space="preserve"> Каша рассыпчатая</t>
  </si>
  <si>
    <t>крупа гречневая</t>
  </si>
  <si>
    <t>яйцо</t>
  </si>
  <si>
    <t>крупа (рисовая,перловая)</t>
  </si>
  <si>
    <t>говядина или свинина</t>
  </si>
  <si>
    <t>огурец соленый или капуста квашенная</t>
  </si>
  <si>
    <t xml:space="preserve"> Рассольник ленинградский </t>
  </si>
  <si>
    <t>крупа перловая или рисовая</t>
  </si>
  <si>
    <t xml:space="preserve">огурец соленый </t>
  </si>
  <si>
    <t xml:space="preserve"> Бефстроганов из мяса отварного</t>
  </si>
  <si>
    <t>говядина, свинина</t>
  </si>
  <si>
    <t>День пятый</t>
  </si>
  <si>
    <t>День восьмой</t>
  </si>
  <si>
    <t>яблоко свежее</t>
  </si>
  <si>
    <t>курага</t>
  </si>
  <si>
    <t>Компот из свежих фруктов</t>
  </si>
  <si>
    <t>ватрушка с творогом</t>
  </si>
  <si>
    <t>бульон</t>
  </si>
  <si>
    <t xml:space="preserve">Ленивые голубцы </t>
  </si>
  <si>
    <t>фарш свинина, говядина</t>
  </si>
  <si>
    <t>капуста</t>
  </si>
  <si>
    <t>рис</t>
  </si>
  <si>
    <t>томатная паста</t>
  </si>
  <si>
    <t>яблоки или груши свежие</t>
  </si>
  <si>
    <t>сливы или абрикосы</t>
  </si>
  <si>
    <t>дрожжи</t>
  </si>
  <si>
    <t>творог</t>
  </si>
  <si>
    <t>День десятый</t>
  </si>
  <si>
    <t>крупа манная</t>
  </si>
  <si>
    <t>изюм</t>
  </si>
  <si>
    <t>Салат из огурцов свежих с раст. маслом</t>
  </si>
  <si>
    <t xml:space="preserve"> Суп картофельный с бобовыми</t>
  </si>
  <si>
    <t>фасоль или горох</t>
  </si>
  <si>
    <t>Сок фруктовый или овощной</t>
  </si>
  <si>
    <t>сок яблочный</t>
  </si>
  <si>
    <t>Говядина (боковой кусок тазобедренной части)</t>
  </si>
  <si>
    <t>52.67</t>
  </si>
  <si>
    <t>Томат-пюре</t>
  </si>
  <si>
    <t>8.00</t>
  </si>
  <si>
    <t>Лук репчатый</t>
  </si>
  <si>
    <t>13.33</t>
  </si>
  <si>
    <t>Огурцы соленые</t>
  </si>
  <si>
    <t>Чеснок</t>
  </si>
  <si>
    <t>0.53</t>
  </si>
  <si>
    <t>Вода</t>
  </si>
  <si>
    <t>80.00</t>
  </si>
  <si>
    <t>2.00</t>
  </si>
  <si>
    <t>Жаркое по домашнему</t>
  </si>
  <si>
    <t>горошек консевированный</t>
  </si>
  <si>
    <t>Каша манная молочная жидкая</t>
  </si>
  <si>
    <t>Салат из помидоров и огурцов</t>
  </si>
  <si>
    <t>помидоры свежие</t>
  </si>
  <si>
    <t xml:space="preserve">лук </t>
  </si>
  <si>
    <t>Кефир 3,2 жирности</t>
  </si>
  <si>
    <t>День девятый</t>
  </si>
  <si>
    <t>Салат из свежих огурцов со сладким перцем с растит.маслом</t>
  </si>
  <si>
    <t>перец сладкий</t>
  </si>
  <si>
    <t>мясо</t>
  </si>
  <si>
    <t>День шестой</t>
  </si>
  <si>
    <t>День седьмой</t>
  </si>
  <si>
    <t>фасоль свежая</t>
  </si>
  <si>
    <t>Персик</t>
  </si>
  <si>
    <t xml:space="preserve"> Салат из помидоров свежих с луком</t>
  </si>
  <si>
    <t>помидор свежий</t>
  </si>
  <si>
    <t>масло  растительное</t>
  </si>
  <si>
    <t>консервы рыбные</t>
  </si>
  <si>
    <t>крупа рисовая или перловая</t>
  </si>
  <si>
    <t>Куры или цыплята</t>
  </si>
  <si>
    <t xml:space="preserve"> Картофель отварной</t>
  </si>
  <si>
    <t>цыплята</t>
  </si>
  <si>
    <t>сухофрукты</t>
  </si>
  <si>
    <t>Салат из отварной свеклы с растительным маслом</t>
  </si>
  <si>
    <t>Молоко</t>
  </si>
  <si>
    <t>250</t>
  </si>
  <si>
    <t>Директор МКОУ ООШ с. Новотроицкое</t>
  </si>
  <si>
    <t>_____________Е.П.Кривошеева</t>
  </si>
  <si>
    <t>м №3</t>
  </si>
  <si>
    <t>н.№4</t>
  </si>
  <si>
    <t xml:space="preserve">Салат из свеклы  с яблоками </t>
  </si>
  <si>
    <t>с.№14</t>
  </si>
  <si>
    <t>Суп картофельный  с гречневой крупой</t>
  </si>
  <si>
    <t xml:space="preserve"> пб№22</t>
  </si>
  <si>
    <t>мр№12</t>
  </si>
  <si>
    <t>г№5</t>
  </si>
  <si>
    <t>н №5</t>
  </si>
  <si>
    <t xml:space="preserve"> Запеканка  из творога </t>
  </si>
  <si>
    <t>бп №30</t>
  </si>
  <si>
    <t>Компот из  сухофруктов</t>
  </si>
  <si>
    <t>н№3</t>
  </si>
  <si>
    <t>с №7</t>
  </si>
  <si>
    <t>Суп рыбный лосось</t>
  </si>
  <si>
    <t>пб №9</t>
  </si>
  <si>
    <t>Куры тушеные в сметанном соусе</t>
  </si>
  <si>
    <t>мр №14</t>
  </si>
  <si>
    <t>вб№6</t>
  </si>
  <si>
    <t>сосиски, сардельки отварные</t>
  </si>
  <si>
    <t>мр №6</t>
  </si>
  <si>
    <t>капуста тушенная</t>
  </si>
  <si>
    <t>вб21</t>
  </si>
  <si>
    <t>г №1</t>
  </si>
  <si>
    <t>пб №1</t>
  </si>
  <si>
    <t>Жаркое по-домашнему</t>
  </si>
  <si>
    <t>свинина</t>
  </si>
  <si>
    <t>мр №5</t>
  </si>
  <si>
    <t>н.№3</t>
  </si>
  <si>
    <t>Каша "Дружба"</t>
  </si>
  <si>
    <t>м 2</t>
  </si>
  <si>
    <t>б.22</t>
  </si>
  <si>
    <t>с.7</t>
  </si>
  <si>
    <t>Борщ со свещей капустой и картофелем</t>
  </si>
  <si>
    <t>п.б./!</t>
  </si>
  <si>
    <t>мр №12</t>
  </si>
  <si>
    <t>Каша рассыпчатая</t>
  </si>
  <si>
    <t>г.№6</t>
  </si>
  <si>
    <t xml:space="preserve">Каша вязкая на молоке </t>
  </si>
  <si>
    <t>м.№4</t>
  </si>
  <si>
    <t>н.№5</t>
  </si>
  <si>
    <t>п.б №16</t>
  </si>
  <si>
    <t xml:space="preserve"> Печень по-строгоновски</t>
  </si>
  <si>
    <t>мр №9</t>
  </si>
  <si>
    <t>г.№3</t>
  </si>
  <si>
    <t>г.№8</t>
  </si>
  <si>
    <t>Салат из  капусты с морковью</t>
  </si>
  <si>
    <t>с.№8</t>
  </si>
  <si>
    <t>п.б №5</t>
  </si>
  <si>
    <t>м.р №16</t>
  </si>
  <si>
    <t>в.б.№12</t>
  </si>
  <si>
    <t>Омлет натуральный запеченый</t>
  </si>
  <si>
    <t>б.№22</t>
  </si>
  <si>
    <t>н.№6</t>
  </si>
  <si>
    <t>Салат из моркови с кургой</t>
  </si>
  <si>
    <t>с.№1</t>
  </si>
  <si>
    <t xml:space="preserve">Суп картофельный с макаронными изделиями </t>
  </si>
  <si>
    <t>п.б №3</t>
  </si>
  <si>
    <t>в.б. №21</t>
  </si>
  <si>
    <t>н.№8</t>
  </si>
  <si>
    <t xml:space="preserve"> Запеканка из творога </t>
  </si>
  <si>
    <t>б.№30</t>
  </si>
  <si>
    <t>н. №6</t>
  </si>
  <si>
    <t>с.№7</t>
  </si>
  <si>
    <t>п.б.№15</t>
  </si>
  <si>
    <t>м.р.№5</t>
  </si>
  <si>
    <t>м.б.№3</t>
  </si>
  <si>
    <t>с.№19</t>
  </si>
  <si>
    <t xml:space="preserve"> Борщ </t>
  </si>
  <si>
    <t>п.б.№12</t>
  </si>
  <si>
    <t>Плов с говядиной или свининой</t>
  </si>
  <si>
    <t>м.р.№18</t>
  </si>
  <si>
    <t>Компот из сухофруктов</t>
  </si>
  <si>
    <t>Сосиски, сардельки отварные</t>
  </si>
  <si>
    <t>м.р.№6</t>
  </si>
  <si>
    <t xml:space="preserve">Макароные изделия отварные </t>
  </si>
  <si>
    <t>г.№5</t>
  </si>
  <si>
    <t xml:space="preserve"> Винегрет овощной </t>
  </si>
  <si>
    <t>с.№3</t>
  </si>
  <si>
    <t xml:space="preserve"> Суп картофельный с гречневой крупой</t>
  </si>
  <si>
    <t>п.б.№22</t>
  </si>
  <si>
    <t>г.№1</t>
  </si>
  <si>
    <t>м.р.б. №20</t>
  </si>
  <si>
    <t>Азу по-татарски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</si>
</sst>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7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3" xfId="0" applyFont="1" applyBorder="1"/>
    <xf numFmtId="0" fontId="7" fillId="0" borderId="3" xfId="0" applyFont="1" applyBorder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 applyAlignment="1">
      <alignment horizontal="center" vertical="center"/>
    </xf>
    <xf numFmtId="0" fontId="6" fillId="2" borderId="4" xfId="0" applyFont="1" applyFill="1" applyBorder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7" xfId="0" applyFont="1" applyBorder="1"/>
    <xf numFmtId="49" fontId="4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3" borderId="4" xfId="0" applyFont="1" applyFill="1" applyBorder="1"/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8" xfId="0" applyBorder="1"/>
    <xf numFmtId="0" fontId="3" fillId="4" borderId="7" xfId="0" applyFont="1" applyFill="1" applyBorder="1"/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0" fillId="4" borderId="7" xfId="0" applyFont="1" applyFill="1" applyBorder="1"/>
    <xf numFmtId="0" fontId="6" fillId="5" borderId="4" xfId="0" applyFont="1" applyFill="1" applyBorder="1"/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3" borderId="5" xfId="0" applyFont="1" applyFill="1" applyBorder="1"/>
    <xf numFmtId="0" fontId="6" fillId="3" borderId="6" xfId="0" applyFont="1" applyFill="1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6" fillId="4" borderId="3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3" fillId="0" borderId="7" xfId="0" applyFont="1" applyBorder="1"/>
    <xf numFmtId="0" fontId="3" fillId="0" borderId="10" xfId="0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8" borderId="4" xfId="0" applyFont="1" applyFill="1" applyBorder="1"/>
    <xf numFmtId="0" fontId="4" fillId="8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/>
    </xf>
    <xf numFmtId="0" fontId="6" fillId="8" borderId="11" xfId="0" applyFont="1" applyFill="1" applyBorder="1"/>
    <xf numFmtId="0" fontId="4" fillId="8" borderId="12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2" borderId="5" xfId="0" applyFont="1" applyFill="1" applyBorder="1"/>
    <xf numFmtId="0" fontId="6" fillId="2" borderId="6" xfId="0" applyFont="1" applyFill="1" applyBorder="1"/>
    <xf numFmtId="0" fontId="4" fillId="0" borderId="7" xfId="0" applyFont="1" applyBorder="1" applyAlignment="1">
      <alignment horizontal="center" vertical="center"/>
    </xf>
    <xf numFmtId="0" fontId="6" fillId="8" borderId="13" xfId="0" applyFont="1" applyFill="1" applyBorder="1"/>
    <xf numFmtId="0" fontId="4" fillId="8" borderId="14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8" borderId="15" xfId="0" applyFont="1" applyFill="1" applyBorder="1"/>
    <xf numFmtId="0" fontId="4" fillId="8" borderId="3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/>
    </xf>
    <xf numFmtId="0" fontId="2" fillId="8" borderId="16" xfId="0" applyFont="1" applyFill="1" applyBorder="1"/>
    <xf numFmtId="0" fontId="2" fillId="8" borderId="17" xfId="0" applyFont="1" applyFill="1" applyBorder="1" applyAlignment="1">
      <alignment horizontal="left" wrapText="1"/>
    </xf>
    <xf numFmtId="0" fontId="2" fillId="8" borderId="17" xfId="0" applyFont="1" applyFill="1" applyBorder="1"/>
    <xf numFmtId="0" fontId="2" fillId="8" borderId="18" xfId="0" applyFont="1" applyFill="1" applyBorder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8" fillId="0" borderId="0" xfId="0" applyFont="1" applyAlignment="1">
      <alignment horizontal="left" wrapText="1"/>
    </xf>
    <xf numFmtId="0" fontId="19" fillId="0" borderId="0" xfId="0" applyFont="1"/>
    <xf numFmtId="0" fontId="20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3" fillId="4" borderId="3" xfId="0" applyFont="1" applyFill="1" applyBorder="1"/>
    <xf numFmtId="0" fontId="7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7" fillId="4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22" fillId="8" borderId="1" xfId="0" applyFont="1" applyFill="1" applyBorder="1"/>
    <xf numFmtId="0" fontId="0" fillId="8" borderId="0" xfId="0" applyFill="1"/>
    <xf numFmtId="0" fontId="23" fillId="0" borderId="3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24" fillId="0" borderId="0" xfId="0" applyFont="1" applyAlignment="1">
      <alignment horizontal="justify" vertical="center"/>
    </xf>
    <xf numFmtId="0" fontId="0" fillId="2" borderId="0" xfId="0" applyFill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25" fillId="4" borderId="20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0" borderId="1" xfId="1" applyBorder="1" applyAlignment="1">
      <alignment vertical="center" wrapText="1"/>
    </xf>
    <xf numFmtId="0" fontId="25" fillId="8" borderId="29" xfId="0" applyFont="1" applyFill="1" applyBorder="1" applyAlignment="1">
      <alignment horizontal="center" vertical="center" wrapText="1"/>
    </xf>
    <xf numFmtId="0" fontId="25" fillId="8" borderId="30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justify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9" fillId="3" borderId="4" xfId="0" applyFont="1" applyFill="1" applyBorder="1"/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left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2" fontId="4" fillId="8" borderId="14" xfId="0" applyNumberFormat="1" applyFont="1" applyFill="1" applyBorder="1" applyAlignment="1">
      <alignment horizontal="center" vertical="center"/>
    </xf>
    <xf numFmtId="2" fontId="4" fillId="8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2" borderId="13" xfId="0" applyFont="1" applyFill="1" applyBorder="1"/>
    <xf numFmtId="0" fontId="4" fillId="2" borderId="14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21" fillId="4" borderId="1" xfId="1" applyFont="1" applyFill="1" applyBorder="1" applyAlignment="1" applyProtection="1">
      <alignment horizontal="left" vertical="center" wrapText="1"/>
      <protection locked="0"/>
    </xf>
    <xf numFmtId="2" fontId="2" fillId="4" borderId="1" xfId="0" applyNumberFormat="1" applyFont="1" applyFill="1" applyBorder="1"/>
    <xf numFmtId="0" fontId="22" fillId="4" borderId="1" xfId="0" applyFont="1" applyFill="1" applyBorder="1"/>
    <xf numFmtId="0" fontId="27" fillId="4" borderId="1" xfId="0" applyFont="1" applyFill="1" applyBorder="1"/>
    <xf numFmtId="0" fontId="9" fillId="8" borderId="1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6" fillId="8" borderId="1" xfId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32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5" fillId="9" borderId="22" xfId="0" applyFont="1" applyFill="1" applyBorder="1" applyAlignment="1">
      <alignment horizontal="center" vertical="center" wrapText="1"/>
    </xf>
    <xf numFmtId="0" fontId="25" fillId="9" borderId="27" xfId="0" applyFont="1" applyFill="1" applyBorder="1" applyAlignment="1">
      <alignment horizontal="center" vertical="center" wrapText="1"/>
    </xf>
    <xf numFmtId="0" fontId="25" fillId="9" borderId="20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kodiet.ru/produkty-informaciya/Voda-pit'evaya" TargetMode="External"/><Relationship Id="rId3" Type="http://schemas.openxmlformats.org/officeDocument/2006/relationships/hyperlink" Target="https://ekodiet.ru/produkty-informaciya/Luk-repchatyy" TargetMode="External"/><Relationship Id="rId7" Type="http://schemas.openxmlformats.org/officeDocument/2006/relationships/hyperlink" Target="https://ekodiet.ru/produkty-informaciya/Chesnok" TargetMode="External"/><Relationship Id="rId2" Type="http://schemas.openxmlformats.org/officeDocument/2006/relationships/hyperlink" Target="https://ekodiet.ru/produkty-informaciya/Tomat-pyure" TargetMode="External"/><Relationship Id="rId1" Type="http://schemas.openxmlformats.org/officeDocument/2006/relationships/hyperlink" Target="https://ekodiet.ru/produkty-informaciya/Govyadina-(tazobedrennaya-chast',bokovoy-kusok)" TargetMode="External"/><Relationship Id="rId6" Type="http://schemas.openxmlformats.org/officeDocument/2006/relationships/hyperlink" Target="https://ekodiet.ru/produkty-informaciya/Kartofel'" TargetMode="External"/><Relationship Id="rId5" Type="http://schemas.openxmlformats.org/officeDocument/2006/relationships/hyperlink" Target="https://ekodiet.ru/produkty-informaciya/Ogurcy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s://ekodiet.ru/produkty-informaciya/Pshenichnaya-vysshego-sorta-" TargetMode="External"/><Relationship Id="rId9" Type="http://schemas.openxmlformats.org/officeDocument/2006/relationships/hyperlink" Target="https://ekodiet.ru/produkty-informaciya/Sol'-povarennaya-pishchevaya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view="pageBreakPreview" topLeftCell="A32" zoomScale="60" zoomScaleNormal="100" zoomScalePageLayoutView="20" workbookViewId="0">
      <selection activeCell="A68" sqref="A68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  <col min="26" max="26" width="8" customWidth="1"/>
  </cols>
  <sheetData>
    <row r="1" spans="1:30">
      <c r="B1" s="101" t="s">
        <v>89</v>
      </c>
      <c r="C1" s="10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231" t="s">
        <v>90</v>
      </c>
      <c r="O1" s="231"/>
      <c r="P1" s="231"/>
      <c r="Q1" s="231"/>
    </row>
    <row r="2" spans="1:30">
      <c r="B2" s="101" t="s">
        <v>91</v>
      </c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231" t="s">
        <v>268</v>
      </c>
      <c r="O2" s="231"/>
      <c r="P2" s="231"/>
      <c r="Q2" s="231"/>
    </row>
    <row r="3" spans="1:30">
      <c r="B3" s="101" t="s">
        <v>92</v>
      </c>
      <c r="C3" s="102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31" t="s">
        <v>269</v>
      </c>
      <c r="O3" s="231"/>
      <c r="P3" s="231"/>
      <c r="Q3" s="231"/>
    </row>
    <row r="4" spans="1:30">
      <c r="B4" s="101" t="s">
        <v>93</v>
      </c>
      <c r="C4" s="102"/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231" t="s">
        <v>94</v>
      </c>
      <c r="O4" s="231"/>
      <c r="P4" s="231"/>
      <c r="Q4" s="231"/>
    </row>
    <row r="5" spans="1:30">
      <c r="B5" s="101" t="s">
        <v>95</v>
      </c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30">
      <c r="B6" s="101" t="s">
        <v>96</v>
      </c>
      <c r="C6" s="102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30">
      <c r="B7" s="104"/>
      <c r="C7" s="105"/>
      <c r="D7" s="105"/>
      <c r="E7" s="231" t="s">
        <v>97</v>
      </c>
      <c r="F7" s="231"/>
      <c r="G7" s="231"/>
      <c r="H7" s="231"/>
      <c r="I7" s="231"/>
      <c r="J7" s="231"/>
      <c r="K7" s="231"/>
      <c r="L7" s="231"/>
      <c r="M7" s="231"/>
      <c r="N7" s="106"/>
      <c r="O7" s="106"/>
      <c r="P7" s="103"/>
      <c r="Q7" s="103"/>
    </row>
    <row r="8" spans="1:30">
      <c r="B8" s="104"/>
      <c r="C8" s="105"/>
      <c r="D8" s="105"/>
      <c r="E8" s="231" t="s">
        <v>98</v>
      </c>
      <c r="F8" s="231"/>
      <c r="G8" s="231"/>
      <c r="H8" s="231"/>
      <c r="I8" s="231"/>
      <c r="J8" s="231"/>
      <c r="K8" s="231"/>
      <c r="L8" s="231"/>
      <c r="M8" s="231"/>
      <c r="N8" s="106"/>
      <c r="O8" s="106"/>
      <c r="P8" s="103"/>
      <c r="Q8" s="103"/>
    </row>
    <row r="9" spans="1:30">
      <c r="B9" s="104"/>
      <c r="C9" s="103"/>
      <c r="D9" s="103"/>
      <c r="E9" s="231" t="s">
        <v>99</v>
      </c>
      <c r="F9" s="231"/>
      <c r="G9" s="231"/>
      <c r="H9" s="231"/>
      <c r="I9" s="231"/>
      <c r="J9" s="231"/>
      <c r="K9" s="231"/>
      <c r="L9" s="231"/>
      <c r="M9" s="231"/>
      <c r="N9" s="106"/>
      <c r="O9" s="106"/>
      <c r="P9" s="103"/>
      <c r="Q9" s="103"/>
    </row>
    <row r="10" spans="1:30" ht="19.5" customHeight="1">
      <c r="B10" s="107"/>
      <c r="C10" s="108"/>
      <c r="D10" s="108"/>
      <c r="E10" s="231" t="s">
        <v>100</v>
      </c>
      <c r="F10" s="231"/>
      <c r="G10" s="231"/>
      <c r="H10" s="231"/>
      <c r="I10" s="231"/>
      <c r="J10" s="231"/>
      <c r="K10" s="231"/>
      <c r="L10" s="231"/>
      <c r="M10" s="231"/>
      <c r="N10" s="106"/>
      <c r="O10" s="106"/>
      <c r="P10" s="108"/>
      <c r="Q10" s="108"/>
    </row>
    <row r="11" spans="1:30" ht="17.25" customHeight="1">
      <c r="B11" s="107"/>
      <c r="C11" s="108"/>
      <c r="D11" s="108"/>
      <c r="E11" s="109"/>
      <c r="F11" s="109"/>
      <c r="G11" s="108"/>
      <c r="H11" s="108"/>
      <c r="I11" s="108"/>
      <c r="J11" s="102"/>
      <c r="K11" s="102"/>
      <c r="L11" s="102"/>
      <c r="M11" s="102"/>
      <c r="N11" s="102"/>
      <c r="O11" s="102"/>
      <c r="P11" s="108"/>
      <c r="Q11" s="108"/>
    </row>
    <row r="12" spans="1:30" ht="17.25" customHeight="1"/>
    <row r="13" spans="1:30" ht="17.25" customHeight="1"/>
    <row r="14" spans="1:30" ht="15.75">
      <c r="A14" s="232" t="s">
        <v>0</v>
      </c>
      <c r="B14" s="233" t="s">
        <v>1</v>
      </c>
      <c r="C14" s="234" t="s">
        <v>2</v>
      </c>
      <c r="D14" s="235" t="s">
        <v>3</v>
      </c>
      <c r="E14" s="234" t="s">
        <v>4</v>
      </c>
      <c r="F14" s="239" t="s">
        <v>5</v>
      </c>
      <c r="G14" s="241" t="s">
        <v>6</v>
      </c>
      <c r="H14" s="239" t="s">
        <v>7</v>
      </c>
      <c r="I14" s="234" t="s">
        <v>8</v>
      </c>
      <c r="J14" s="234" t="s">
        <v>9</v>
      </c>
      <c r="K14" s="237" t="s">
        <v>10</v>
      </c>
      <c r="L14" s="237"/>
      <c r="M14" s="237"/>
      <c r="N14" s="237"/>
      <c r="O14" s="237" t="s">
        <v>11</v>
      </c>
      <c r="P14" s="237"/>
      <c r="Q14" s="237"/>
      <c r="R14" s="237"/>
    </row>
    <row r="15" spans="1:30" ht="72" customHeight="1">
      <c r="A15" s="232"/>
      <c r="B15" s="233"/>
      <c r="C15" s="234"/>
      <c r="D15" s="236"/>
      <c r="E15" s="234"/>
      <c r="F15" s="240"/>
      <c r="G15" s="241"/>
      <c r="H15" s="240"/>
      <c r="I15" s="234"/>
      <c r="J15" s="234"/>
      <c r="K15" s="1" t="s">
        <v>12</v>
      </c>
      <c r="L15" s="1" t="s">
        <v>13</v>
      </c>
      <c r="M15" s="1" t="s">
        <v>14</v>
      </c>
      <c r="N15" s="1" t="s">
        <v>15</v>
      </c>
      <c r="O15" s="1" t="s">
        <v>16</v>
      </c>
      <c r="P15" s="1" t="s">
        <v>17</v>
      </c>
      <c r="Q15" s="1" t="s">
        <v>18</v>
      </c>
      <c r="R15" s="1" t="s">
        <v>19</v>
      </c>
      <c r="S15" s="234" t="s">
        <v>4</v>
      </c>
      <c r="T15" s="234" t="s">
        <v>6</v>
      </c>
      <c r="U15" s="234" t="s">
        <v>8</v>
      </c>
      <c r="V15" s="234" t="s">
        <v>9</v>
      </c>
      <c r="W15" s="237" t="s">
        <v>10</v>
      </c>
      <c r="X15" s="237"/>
      <c r="Y15" s="237"/>
      <c r="Z15" s="237"/>
      <c r="AA15" s="237" t="s">
        <v>11</v>
      </c>
      <c r="AB15" s="237"/>
      <c r="AC15" s="237"/>
      <c r="AD15" s="237"/>
    </row>
    <row r="16" spans="1:30" ht="21" customHeight="1">
      <c r="A16" s="110"/>
      <c r="B16" s="238" t="s">
        <v>68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4"/>
      <c r="T16" s="234"/>
      <c r="U16" s="234"/>
      <c r="V16" s="234"/>
      <c r="W16" s="1" t="s">
        <v>12</v>
      </c>
      <c r="X16" s="1" t="s">
        <v>13</v>
      </c>
      <c r="Y16" s="1" t="s">
        <v>14</v>
      </c>
      <c r="Z16" s="1" t="s">
        <v>15</v>
      </c>
      <c r="AA16" s="1" t="s">
        <v>16</v>
      </c>
      <c r="AB16" s="1" t="s">
        <v>17</v>
      </c>
      <c r="AC16" s="1" t="s">
        <v>18</v>
      </c>
      <c r="AD16" s="1" t="s">
        <v>19</v>
      </c>
    </row>
    <row r="17" spans="1:18" ht="16.5" thickBot="1">
      <c r="A17" s="112"/>
      <c r="B17" s="243" t="s">
        <v>21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18" ht="32.25" thickBot="1">
      <c r="A18" s="23" t="s">
        <v>270</v>
      </c>
      <c r="B18" s="24" t="s">
        <v>101</v>
      </c>
      <c r="C18" s="25">
        <v>200</v>
      </c>
      <c r="D18" s="25">
        <v>149.80000000000001</v>
      </c>
      <c r="E18" s="25">
        <v>6</v>
      </c>
      <c r="F18" s="25">
        <v>2.4</v>
      </c>
      <c r="G18" s="25">
        <v>6.8</v>
      </c>
      <c r="H18" s="25">
        <v>1.78</v>
      </c>
      <c r="I18" s="25">
        <v>29.2</v>
      </c>
      <c r="J18" s="25">
        <v>202</v>
      </c>
      <c r="K18" s="25">
        <v>0.16</v>
      </c>
      <c r="L18" s="25"/>
      <c r="M18" s="25"/>
      <c r="N18" s="25">
        <v>1.8</v>
      </c>
      <c r="O18" s="25">
        <v>24</v>
      </c>
      <c r="P18" s="25">
        <v>144</v>
      </c>
      <c r="Q18" s="25">
        <v>98</v>
      </c>
      <c r="R18" s="26">
        <v>3.2</v>
      </c>
    </row>
    <row r="19" spans="1:18" ht="15.75">
      <c r="A19" s="3"/>
      <c r="B19" s="87" t="s">
        <v>102</v>
      </c>
      <c r="C19" s="12">
        <v>20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.75">
      <c r="A20" s="15"/>
      <c r="B20" s="88" t="s">
        <v>54</v>
      </c>
      <c r="C20" s="18">
        <v>70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5.75">
      <c r="A21" s="5"/>
      <c r="B21" s="131" t="s">
        <v>71</v>
      </c>
      <c r="C21" s="93">
        <v>180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.75">
      <c r="A22" s="5"/>
      <c r="B22" s="89" t="s">
        <v>29</v>
      </c>
      <c r="C22" s="14">
        <v>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5.75">
      <c r="A23" s="5"/>
      <c r="B23" s="89" t="s">
        <v>53</v>
      </c>
      <c r="C23" s="14">
        <v>10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6.5" thickBot="1">
      <c r="A24" s="5"/>
      <c r="B24" s="123" t="s">
        <v>51</v>
      </c>
      <c r="C24" s="124">
        <v>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6.5" thickBot="1">
      <c r="A25" s="23"/>
      <c r="B25" s="24" t="s">
        <v>72</v>
      </c>
      <c r="C25" s="25">
        <v>20</v>
      </c>
      <c r="D25" s="25">
        <v>8.6</v>
      </c>
      <c r="E25" s="25">
        <f>6.96/30*20</f>
        <v>4.6400000000000006</v>
      </c>
      <c r="F25" s="25">
        <v>4.6399999999999997</v>
      </c>
      <c r="G25" s="25">
        <f>8.85/30*20</f>
        <v>5.8999999999999995</v>
      </c>
      <c r="H25" s="25">
        <v>0</v>
      </c>
      <c r="I25" s="25">
        <v>0</v>
      </c>
      <c r="J25" s="25">
        <v>71.66</v>
      </c>
      <c r="K25" s="25">
        <v>0.01</v>
      </c>
      <c r="L25" s="25">
        <v>0.14000000000000001</v>
      </c>
      <c r="M25" s="25">
        <f>78/30*20</f>
        <v>52</v>
      </c>
      <c r="N25" s="25">
        <v>0.1</v>
      </c>
      <c r="O25" s="25">
        <f>264/30*20</f>
        <v>176</v>
      </c>
      <c r="P25" s="25">
        <f>150/30*20</f>
        <v>100</v>
      </c>
      <c r="Q25" s="25">
        <f>10.5/30*20</f>
        <v>7</v>
      </c>
      <c r="R25" s="26">
        <f>0.3/30*20</f>
        <v>0.2</v>
      </c>
    </row>
    <row r="26" spans="1:18" ht="16.5" thickBot="1">
      <c r="A26" s="19"/>
      <c r="B26" s="27" t="s">
        <v>73</v>
      </c>
      <c r="C26" s="21">
        <v>20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6.5" thickBot="1">
      <c r="A27" s="23"/>
      <c r="B27" s="24" t="s">
        <v>80</v>
      </c>
      <c r="C27" s="25">
        <v>10</v>
      </c>
      <c r="D27" s="25">
        <v>2.6</v>
      </c>
      <c r="E27" s="25">
        <v>0.1</v>
      </c>
      <c r="F27" s="25">
        <v>0.1</v>
      </c>
      <c r="G27" s="25">
        <v>7.2</v>
      </c>
      <c r="H27" s="25"/>
      <c r="I27" s="25">
        <v>0.13</v>
      </c>
      <c r="J27" s="25">
        <v>65.72</v>
      </c>
      <c r="K27" s="25">
        <v>0</v>
      </c>
      <c r="L27" s="25">
        <v>0</v>
      </c>
      <c r="M27" s="25">
        <v>40</v>
      </c>
      <c r="N27" s="25">
        <v>0.1</v>
      </c>
      <c r="O27" s="25">
        <v>2.4</v>
      </c>
      <c r="P27" s="25">
        <v>3</v>
      </c>
      <c r="Q27" s="25">
        <v>0</v>
      </c>
      <c r="R27" s="26"/>
    </row>
    <row r="28" spans="1:18" ht="16.5" thickBot="1">
      <c r="A28" s="19"/>
      <c r="B28" s="27" t="s">
        <v>80</v>
      </c>
      <c r="C28" s="21">
        <v>10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6.5" thickBot="1">
      <c r="A29" s="7" t="s">
        <v>271</v>
      </c>
      <c r="B29" s="8" t="s">
        <v>33</v>
      </c>
      <c r="C29" s="9">
        <v>200</v>
      </c>
      <c r="D29" s="9">
        <v>199.1</v>
      </c>
      <c r="E29" s="9">
        <v>0.53</v>
      </c>
      <c r="F29" s="9"/>
      <c r="G29" s="9">
        <v>0</v>
      </c>
      <c r="H29" s="9"/>
      <c r="I29" s="9">
        <v>9.4700000000000006</v>
      </c>
      <c r="J29" s="9">
        <v>40</v>
      </c>
      <c r="K29" s="9">
        <v>0</v>
      </c>
      <c r="L29" s="9">
        <v>0.27</v>
      </c>
      <c r="M29" s="9">
        <v>0</v>
      </c>
      <c r="N29" s="9"/>
      <c r="O29" s="9">
        <v>13.6</v>
      </c>
      <c r="P29" s="9">
        <v>22.13</v>
      </c>
      <c r="Q29" s="9">
        <v>11.73</v>
      </c>
      <c r="R29" s="10">
        <v>2.13</v>
      </c>
    </row>
    <row r="30" spans="1:18" ht="15.75">
      <c r="A30" s="19"/>
      <c r="B30" s="27" t="s">
        <v>34</v>
      </c>
      <c r="C30" s="21">
        <v>0.44</v>
      </c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6.5" thickBot="1">
      <c r="A31" s="5"/>
      <c r="B31" s="89" t="s">
        <v>29</v>
      </c>
      <c r="C31" s="14">
        <v>13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6.5" thickBot="1">
      <c r="A32" s="23" t="s">
        <v>35</v>
      </c>
      <c r="B32" s="24" t="s">
        <v>36</v>
      </c>
      <c r="C32" s="25">
        <v>40</v>
      </c>
      <c r="D32" s="25">
        <v>15.2</v>
      </c>
      <c r="E32" s="25">
        <v>3.16</v>
      </c>
      <c r="F32" s="25"/>
      <c r="G32" s="25">
        <v>0.4</v>
      </c>
      <c r="H32" s="25">
        <v>0.4</v>
      </c>
      <c r="I32" s="25">
        <v>19.32</v>
      </c>
      <c r="J32" s="25">
        <v>93.52</v>
      </c>
      <c r="K32" s="25">
        <v>0.04</v>
      </c>
      <c r="L32" s="25"/>
      <c r="M32" s="25"/>
      <c r="N32" s="25">
        <v>0.52</v>
      </c>
      <c r="O32" s="25">
        <v>9.1999999999999993</v>
      </c>
      <c r="P32" s="25">
        <v>34.799999999999997</v>
      </c>
      <c r="Q32" s="25">
        <v>13.2</v>
      </c>
      <c r="R32" s="26">
        <v>0.44</v>
      </c>
    </row>
    <row r="33" spans="1:30" ht="16.5" thickBot="1">
      <c r="A33" s="19"/>
      <c r="B33" s="27" t="s">
        <v>37</v>
      </c>
      <c r="C33" s="21">
        <v>40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>
        <v>77</v>
      </c>
      <c r="T33">
        <v>79</v>
      </c>
      <c r="U33">
        <v>335</v>
      </c>
      <c r="V33">
        <v>2350</v>
      </c>
      <c r="W33">
        <v>1.2</v>
      </c>
      <c r="X33">
        <v>60</v>
      </c>
      <c r="Y33">
        <v>0.7</v>
      </c>
      <c r="Z33">
        <v>10</v>
      </c>
      <c r="AA33">
        <v>1100</v>
      </c>
      <c r="AB33">
        <v>1650</v>
      </c>
      <c r="AC33">
        <v>250</v>
      </c>
      <c r="AD33">
        <v>12</v>
      </c>
    </row>
    <row r="34" spans="1:30" ht="16.5" thickBot="1">
      <c r="A34" s="7"/>
      <c r="B34" s="62" t="s">
        <v>38</v>
      </c>
      <c r="C34" s="59">
        <v>75</v>
      </c>
      <c r="D34" s="59">
        <v>65.5</v>
      </c>
      <c r="E34" s="59">
        <v>0.3</v>
      </c>
      <c r="F34" s="59"/>
      <c r="G34" s="59">
        <v>0.3</v>
      </c>
      <c r="H34" s="59">
        <v>0.3</v>
      </c>
      <c r="I34" s="59">
        <v>7.35</v>
      </c>
      <c r="J34" s="59">
        <v>33.299999999999997</v>
      </c>
      <c r="K34" s="59">
        <v>0.02</v>
      </c>
      <c r="L34" s="59">
        <v>7.5</v>
      </c>
      <c r="M34" s="59"/>
      <c r="N34" s="59">
        <v>0.15</v>
      </c>
      <c r="O34" s="59">
        <v>12</v>
      </c>
      <c r="P34" s="59">
        <v>8.25</v>
      </c>
      <c r="Q34" s="59">
        <v>6.75</v>
      </c>
      <c r="R34" s="60">
        <v>1.65</v>
      </c>
    </row>
    <row r="35" spans="1:30" ht="16.5" thickBot="1">
      <c r="A35" s="55"/>
      <c r="B35" s="27" t="s">
        <v>56</v>
      </c>
      <c r="C35" s="21">
        <v>75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3"/>
    </row>
    <row r="36" spans="1:30" ht="16.5" thickBot="1">
      <c r="A36" s="36"/>
      <c r="B36" s="37" t="s">
        <v>40</v>
      </c>
      <c r="C36" s="38"/>
      <c r="D36" s="38">
        <f t="shared" ref="D36:R36" si="0">SUM(D18:D35)</f>
        <v>440.8</v>
      </c>
      <c r="E36" s="38">
        <f t="shared" si="0"/>
        <v>14.73</v>
      </c>
      <c r="F36" s="38">
        <f t="shared" si="0"/>
        <v>7.1399999999999988</v>
      </c>
      <c r="G36" s="38">
        <f t="shared" si="0"/>
        <v>20.599999999999998</v>
      </c>
      <c r="H36" s="38">
        <f t="shared" si="0"/>
        <v>2.48</v>
      </c>
      <c r="I36" s="38">
        <f t="shared" si="0"/>
        <v>65.47</v>
      </c>
      <c r="J36" s="38">
        <f t="shared" si="0"/>
        <v>506.2</v>
      </c>
      <c r="K36" s="38">
        <f t="shared" si="0"/>
        <v>0.23</v>
      </c>
      <c r="L36" s="38">
        <f t="shared" si="0"/>
        <v>7.91</v>
      </c>
      <c r="M36" s="38">
        <f t="shared" si="0"/>
        <v>92</v>
      </c>
      <c r="N36" s="38">
        <f t="shared" si="0"/>
        <v>2.67</v>
      </c>
      <c r="O36" s="38">
        <f t="shared" si="0"/>
        <v>237.2</v>
      </c>
      <c r="P36" s="38">
        <f t="shared" si="0"/>
        <v>312.18</v>
      </c>
      <c r="Q36" s="38">
        <f t="shared" si="0"/>
        <v>136.68</v>
      </c>
      <c r="R36" s="38">
        <f t="shared" si="0"/>
        <v>7.620000000000001</v>
      </c>
      <c r="S36" s="39">
        <f t="shared" ref="S36:AD36" si="1">S33*0.2</f>
        <v>15.4</v>
      </c>
      <c r="T36" s="40">
        <f t="shared" si="1"/>
        <v>15.8</v>
      </c>
      <c r="U36" s="40">
        <f t="shared" si="1"/>
        <v>67</v>
      </c>
      <c r="V36" s="40">
        <f t="shared" si="1"/>
        <v>470</v>
      </c>
      <c r="W36" s="40">
        <f t="shared" si="1"/>
        <v>0.24</v>
      </c>
      <c r="X36" s="40">
        <f t="shared" si="1"/>
        <v>12</v>
      </c>
      <c r="Y36" s="40">
        <f t="shared" si="1"/>
        <v>0.13999999999999999</v>
      </c>
      <c r="Z36" s="40">
        <f t="shared" si="1"/>
        <v>2</v>
      </c>
      <c r="AA36" s="40">
        <f t="shared" si="1"/>
        <v>220</v>
      </c>
      <c r="AB36" s="40">
        <f t="shared" si="1"/>
        <v>330</v>
      </c>
      <c r="AC36" s="40">
        <f t="shared" si="1"/>
        <v>50</v>
      </c>
      <c r="AD36" s="40">
        <f t="shared" si="1"/>
        <v>2.4000000000000004</v>
      </c>
    </row>
    <row r="37" spans="1:30" ht="16.5" thickBot="1">
      <c r="A37" s="19"/>
      <c r="B37" s="242" t="s">
        <v>41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>
        <f t="shared" ref="S37:AD37" si="2">S33*0.25</f>
        <v>19.25</v>
      </c>
      <c r="T37">
        <f t="shared" si="2"/>
        <v>19.75</v>
      </c>
      <c r="U37">
        <f t="shared" si="2"/>
        <v>83.75</v>
      </c>
      <c r="V37">
        <f t="shared" si="2"/>
        <v>587.5</v>
      </c>
      <c r="W37">
        <f t="shared" si="2"/>
        <v>0.3</v>
      </c>
      <c r="X37">
        <f t="shared" si="2"/>
        <v>15</v>
      </c>
      <c r="Y37">
        <f t="shared" si="2"/>
        <v>0.17499999999999999</v>
      </c>
      <c r="Z37">
        <f t="shared" si="2"/>
        <v>2.5</v>
      </c>
      <c r="AA37">
        <f t="shared" si="2"/>
        <v>275</v>
      </c>
      <c r="AB37">
        <f t="shared" si="2"/>
        <v>412.5</v>
      </c>
      <c r="AC37">
        <f t="shared" si="2"/>
        <v>62.5</v>
      </c>
      <c r="AD37">
        <f t="shared" si="2"/>
        <v>3</v>
      </c>
    </row>
    <row r="38" spans="1:30" ht="16.5" thickBot="1">
      <c r="A38" s="23" t="s">
        <v>273</v>
      </c>
      <c r="B38" s="24" t="s">
        <v>272</v>
      </c>
      <c r="C38" s="25">
        <v>100</v>
      </c>
      <c r="D38" s="25">
        <v>83.3</v>
      </c>
      <c r="E38" s="25">
        <v>0.86</v>
      </c>
      <c r="F38" s="25">
        <v>0</v>
      </c>
      <c r="G38" s="25">
        <v>3.22</v>
      </c>
      <c r="H38" s="25">
        <v>3.22</v>
      </c>
      <c r="I38" s="25">
        <v>7.87</v>
      </c>
      <c r="J38" s="25">
        <v>81.900000000000006</v>
      </c>
      <c r="K38" s="25">
        <v>0.06</v>
      </c>
      <c r="L38" s="25">
        <v>6.96</v>
      </c>
      <c r="M38" s="25"/>
      <c r="N38" s="25">
        <v>2.4900000000000002</v>
      </c>
      <c r="O38" s="25">
        <v>21.19</v>
      </c>
      <c r="P38" s="25">
        <v>33.979999999999997</v>
      </c>
      <c r="Q38" s="25">
        <v>24</v>
      </c>
      <c r="R38" s="26">
        <v>1.32</v>
      </c>
      <c r="S38">
        <f>E36</f>
        <v>14.73</v>
      </c>
      <c r="T38">
        <f>G36</f>
        <v>20.599999999999998</v>
      </c>
      <c r="U38">
        <f t="shared" ref="U38:AD38" si="3">I36</f>
        <v>65.47</v>
      </c>
      <c r="V38">
        <f t="shared" si="3"/>
        <v>506.2</v>
      </c>
      <c r="W38">
        <f t="shared" si="3"/>
        <v>0.23</v>
      </c>
      <c r="X38">
        <f t="shared" si="3"/>
        <v>7.91</v>
      </c>
      <c r="Y38">
        <f t="shared" si="3"/>
        <v>92</v>
      </c>
      <c r="Z38">
        <f t="shared" si="3"/>
        <v>2.67</v>
      </c>
      <c r="AA38">
        <f t="shared" si="3"/>
        <v>237.2</v>
      </c>
      <c r="AB38">
        <f t="shared" si="3"/>
        <v>312.18</v>
      </c>
      <c r="AC38">
        <f t="shared" si="3"/>
        <v>136.68</v>
      </c>
      <c r="AD38">
        <f t="shared" si="3"/>
        <v>7.620000000000001</v>
      </c>
    </row>
    <row r="39" spans="1:30" ht="15.75">
      <c r="A39" s="3"/>
      <c r="B39" s="87" t="s">
        <v>46</v>
      </c>
      <c r="C39" s="12">
        <v>73.8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30" ht="15.75">
      <c r="A40" s="15"/>
      <c r="B40" s="88" t="s">
        <v>83</v>
      </c>
      <c r="C40" s="18">
        <v>35.700000000000003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30" ht="16.5" thickBot="1">
      <c r="A41" s="5"/>
      <c r="B41" s="89" t="s">
        <v>29</v>
      </c>
      <c r="C41" s="14">
        <v>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30" ht="16.5" thickBot="1">
      <c r="A42" s="7" t="s">
        <v>275</v>
      </c>
      <c r="B42" s="8" t="s">
        <v>274</v>
      </c>
      <c r="C42" s="9">
        <v>250</v>
      </c>
      <c r="D42" s="9">
        <v>191.7</v>
      </c>
      <c r="E42" s="9">
        <v>5.82</v>
      </c>
      <c r="F42" s="9">
        <v>0</v>
      </c>
      <c r="G42" s="9">
        <v>8.5299999999999994</v>
      </c>
      <c r="H42" s="9">
        <v>2.0499999999999998</v>
      </c>
      <c r="I42" s="9">
        <v>6.35</v>
      </c>
      <c r="J42" s="9">
        <v>127.34</v>
      </c>
      <c r="K42" s="9">
        <v>0.1</v>
      </c>
      <c r="L42" s="9">
        <v>9.92</v>
      </c>
      <c r="M42" s="9"/>
      <c r="N42" s="9"/>
      <c r="O42" s="9">
        <v>38.72</v>
      </c>
      <c r="P42" s="9">
        <v>345.17</v>
      </c>
      <c r="Q42" s="9">
        <v>14.18</v>
      </c>
      <c r="R42" s="10">
        <v>0.71</v>
      </c>
    </row>
    <row r="43" spans="1:30" ht="15.75">
      <c r="A43" s="114"/>
      <c r="B43" s="115" t="s">
        <v>48</v>
      </c>
      <c r="C43" s="91">
        <v>70</v>
      </c>
      <c r="D43" s="91"/>
      <c r="E43" s="91"/>
      <c r="F43" s="9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30" ht="15.75">
      <c r="A44" s="116"/>
      <c r="B44" s="117" t="s">
        <v>103</v>
      </c>
      <c r="C44" s="58">
        <v>10</v>
      </c>
      <c r="D44" s="58"/>
      <c r="E44" s="58"/>
      <c r="F44" s="58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30" ht="15.75">
      <c r="A45" s="116"/>
      <c r="B45" s="117" t="s">
        <v>25</v>
      </c>
      <c r="C45" s="58">
        <v>10</v>
      </c>
      <c r="D45" s="58"/>
      <c r="E45" s="58"/>
      <c r="F45" s="58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30" ht="15.75">
      <c r="A46" s="116"/>
      <c r="B46" s="117" t="s">
        <v>49</v>
      </c>
      <c r="C46" s="58">
        <v>9.6</v>
      </c>
      <c r="D46" s="58"/>
      <c r="E46" s="58"/>
      <c r="F46" s="58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30" ht="15.75">
      <c r="A47" s="116"/>
      <c r="B47" s="117" t="s">
        <v>44</v>
      </c>
      <c r="C47" s="58">
        <v>2.5</v>
      </c>
      <c r="D47" s="58"/>
      <c r="E47" s="58"/>
      <c r="F47" s="58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30" ht="15.75">
      <c r="A48" s="116"/>
      <c r="B48" s="117" t="s">
        <v>54</v>
      </c>
      <c r="C48" s="58">
        <f>850/4</f>
        <v>212.5</v>
      </c>
      <c r="D48" s="58"/>
      <c r="E48" s="58"/>
      <c r="F48" s="58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ht="16.5" thickBot="1">
      <c r="A49" s="118"/>
      <c r="B49" s="119" t="s">
        <v>104</v>
      </c>
      <c r="C49" s="93">
        <v>1</v>
      </c>
      <c r="D49" s="93"/>
      <c r="E49" s="93"/>
      <c r="F49" s="93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6.5" thickBot="1">
      <c r="A50" s="7" t="s">
        <v>276</v>
      </c>
      <c r="B50" s="120" t="s">
        <v>109</v>
      </c>
      <c r="C50" s="9">
        <v>100</v>
      </c>
      <c r="D50" s="9">
        <v>73.06</v>
      </c>
      <c r="E50" s="59">
        <f>7.8/0.8</f>
        <v>9.75</v>
      </c>
      <c r="F50" s="59">
        <v>9.06</v>
      </c>
      <c r="G50" s="59">
        <v>4.96</v>
      </c>
      <c r="H50" s="59">
        <v>4.46</v>
      </c>
      <c r="I50" s="59">
        <f>3.04/0.8</f>
        <v>3.8</v>
      </c>
      <c r="J50" s="59">
        <f>84/0.8</f>
        <v>105</v>
      </c>
      <c r="K50" s="59">
        <v>0.08</v>
      </c>
      <c r="L50" s="59">
        <v>1.2</v>
      </c>
      <c r="M50" s="59">
        <v>14.8</v>
      </c>
      <c r="N50" s="59">
        <v>1.48</v>
      </c>
      <c r="O50" s="59">
        <v>28.8</v>
      </c>
      <c r="P50" s="59">
        <v>176.93</v>
      </c>
      <c r="Q50" s="59">
        <v>28.53</v>
      </c>
      <c r="R50" s="60">
        <v>0.55000000000000004</v>
      </c>
    </row>
    <row r="51" spans="1:18" ht="15.75">
      <c r="A51" s="46"/>
      <c r="B51" s="133" t="s">
        <v>105</v>
      </c>
      <c r="C51" s="12">
        <v>145</v>
      </c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5.75">
      <c r="A52" s="47"/>
      <c r="B52" s="134" t="s">
        <v>106</v>
      </c>
      <c r="C52" s="18">
        <f>19</f>
        <v>19</v>
      </c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.75">
      <c r="A53" s="47"/>
      <c r="B53" s="134" t="s">
        <v>25</v>
      </c>
      <c r="C53" s="18">
        <f>23</f>
        <v>23</v>
      </c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5.75">
      <c r="A54" s="47"/>
      <c r="B54" s="123" t="s">
        <v>51</v>
      </c>
      <c r="C54" s="124">
        <v>1</v>
      </c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15.75">
      <c r="A55" s="47"/>
      <c r="B55" s="134" t="s">
        <v>49</v>
      </c>
      <c r="C55" s="18">
        <f>10</f>
        <v>10</v>
      </c>
      <c r="D55" s="1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.75">
      <c r="A56" s="47"/>
      <c r="B56" s="134" t="s">
        <v>27</v>
      </c>
      <c r="C56" s="18">
        <v>8</v>
      </c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6.5" thickBot="1">
      <c r="A57" s="47"/>
      <c r="B57" s="134" t="s">
        <v>44</v>
      </c>
      <c r="C57" s="18">
        <v>2.5</v>
      </c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6.5" thickBot="1">
      <c r="A58" s="7" t="s">
        <v>277</v>
      </c>
      <c r="B58" s="8" t="s">
        <v>107</v>
      </c>
      <c r="C58" s="9">
        <v>150</v>
      </c>
      <c r="D58" s="9">
        <v>72.599999999999994</v>
      </c>
      <c r="E58" s="9">
        <v>5.45</v>
      </c>
      <c r="F58" s="9">
        <v>7.0000000000000007E-2</v>
      </c>
      <c r="G58" s="9">
        <v>5.78</v>
      </c>
      <c r="H58" s="9">
        <v>0.64</v>
      </c>
      <c r="I58" s="9">
        <v>30.88</v>
      </c>
      <c r="J58" s="9">
        <v>195.71</v>
      </c>
      <c r="K58" s="9">
        <v>0.06</v>
      </c>
      <c r="L58" s="9"/>
      <c r="M58" s="9">
        <v>28.57</v>
      </c>
      <c r="N58" s="9"/>
      <c r="O58" s="9">
        <v>12.14</v>
      </c>
      <c r="P58" s="9">
        <v>37.57</v>
      </c>
      <c r="Q58" s="9">
        <v>8.4</v>
      </c>
      <c r="R58" s="10">
        <v>0.81</v>
      </c>
    </row>
    <row r="59" spans="1:18" ht="15.75">
      <c r="A59" s="3"/>
      <c r="B59" s="87" t="s">
        <v>108</v>
      </c>
      <c r="C59" s="12">
        <v>30</v>
      </c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6.5" thickBot="1">
      <c r="A60" s="5"/>
      <c r="B60" s="89" t="s">
        <v>53</v>
      </c>
      <c r="C60" s="14">
        <v>7.5</v>
      </c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6.5" thickBot="1">
      <c r="A61" s="7" t="s">
        <v>278</v>
      </c>
      <c r="B61" s="8" t="s">
        <v>81</v>
      </c>
      <c r="C61" s="9">
        <v>200</v>
      </c>
      <c r="D61" s="9">
        <v>203.2</v>
      </c>
      <c r="E61" s="59">
        <v>0.53</v>
      </c>
      <c r="F61" s="59"/>
      <c r="G61" s="59">
        <v>4.0599999999999996</v>
      </c>
      <c r="H61" s="59"/>
      <c r="I61" s="59">
        <f>6.65*2</f>
        <v>13.3</v>
      </c>
      <c r="J61" s="59">
        <f>26.29*2</f>
        <v>52.58</v>
      </c>
      <c r="K61" s="59"/>
      <c r="L61" s="59">
        <v>2.13</v>
      </c>
      <c r="M61" s="59"/>
      <c r="N61" s="59"/>
      <c r="O61" s="59">
        <v>15.33</v>
      </c>
      <c r="P61" s="59">
        <v>23.2</v>
      </c>
      <c r="Q61" s="59">
        <v>12.27</v>
      </c>
      <c r="R61" s="60">
        <v>2.13</v>
      </c>
    </row>
    <row r="62" spans="1:18" ht="15.75">
      <c r="A62" s="3"/>
      <c r="B62" s="87" t="s">
        <v>34</v>
      </c>
      <c r="C62" s="12">
        <v>0.44</v>
      </c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5.75">
      <c r="A63" s="15"/>
      <c r="B63" s="88" t="s">
        <v>54</v>
      </c>
      <c r="C63" s="18">
        <v>150</v>
      </c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5.75">
      <c r="A64" s="5"/>
      <c r="B64" s="89" t="s">
        <v>29</v>
      </c>
      <c r="C64" s="14">
        <v>13</v>
      </c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30" ht="16.5" thickBot="1">
      <c r="A65" s="5"/>
      <c r="B65" s="89" t="s">
        <v>82</v>
      </c>
      <c r="C65" s="14">
        <v>8</v>
      </c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30" ht="16.5" thickBot="1">
      <c r="A66" s="23" t="s">
        <v>35</v>
      </c>
      <c r="B66" s="24" t="s">
        <v>36</v>
      </c>
      <c r="C66" s="25">
        <v>40</v>
      </c>
      <c r="D66" s="25">
        <v>15.2</v>
      </c>
      <c r="E66" s="25">
        <v>3.16</v>
      </c>
      <c r="F66" s="25"/>
      <c r="G66" s="25">
        <v>0.4</v>
      </c>
      <c r="H66" s="25">
        <v>0.4</v>
      </c>
      <c r="I66" s="25">
        <v>19.32</v>
      </c>
      <c r="J66" s="25">
        <v>93.52</v>
      </c>
      <c r="K66" s="25">
        <v>0.04</v>
      </c>
      <c r="L66" s="25"/>
      <c r="M66" s="25"/>
      <c r="N66" s="25">
        <v>0.52</v>
      </c>
      <c r="O66" s="25">
        <v>9.1999999999999993</v>
      </c>
      <c r="P66" s="25">
        <v>34.799999999999997</v>
      </c>
      <c r="Q66" s="25">
        <v>13.2</v>
      </c>
      <c r="R66" s="26">
        <v>0.44</v>
      </c>
    </row>
    <row r="67" spans="1:30" ht="16.5" thickBot="1">
      <c r="A67" s="19"/>
      <c r="B67" s="27" t="s">
        <v>37</v>
      </c>
      <c r="C67" s="21">
        <v>40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>
        <v>77</v>
      </c>
      <c r="T67">
        <v>79</v>
      </c>
      <c r="U67">
        <v>335</v>
      </c>
      <c r="V67">
        <v>2350</v>
      </c>
      <c r="W67">
        <v>1.2</v>
      </c>
      <c r="X67">
        <v>60</v>
      </c>
      <c r="Y67">
        <v>0.7</v>
      </c>
      <c r="Z67">
        <v>10</v>
      </c>
      <c r="AA67">
        <v>1100</v>
      </c>
      <c r="AB67">
        <v>1650</v>
      </c>
      <c r="AC67">
        <v>250</v>
      </c>
      <c r="AD67">
        <v>12</v>
      </c>
    </row>
    <row r="68" spans="1:30" s="31" customFormat="1" ht="16.5" thickBot="1">
      <c r="A68" s="7"/>
      <c r="B68" s="8" t="s">
        <v>38</v>
      </c>
      <c r="C68" s="28">
        <v>75</v>
      </c>
      <c r="D68" s="28">
        <v>55.8</v>
      </c>
      <c r="E68" s="29">
        <v>1.1299999999999999</v>
      </c>
      <c r="F68" s="29"/>
      <c r="G68" s="29">
        <v>0.38</v>
      </c>
      <c r="H68" s="29">
        <v>0.38</v>
      </c>
      <c r="I68" s="29">
        <v>15.75</v>
      </c>
      <c r="J68" s="29">
        <v>70.88</v>
      </c>
      <c r="K68" s="29">
        <v>0.03</v>
      </c>
      <c r="L68" s="29">
        <v>7.5</v>
      </c>
      <c r="M68" s="29">
        <v>0</v>
      </c>
      <c r="N68" s="29">
        <v>0.3</v>
      </c>
      <c r="O68" s="29">
        <v>6</v>
      </c>
      <c r="P68" s="29">
        <v>21</v>
      </c>
      <c r="Q68" s="29">
        <v>31.5</v>
      </c>
      <c r="R68" s="30">
        <v>0.45</v>
      </c>
    </row>
    <row r="69" spans="1:30" s="35" customFormat="1" ht="16.5" thickBot="1">
      <c r="A69" s="32"/>
      <c r="B69" s="33" t="s">
        <v>39</v>
      </c>
      <c r="C69" s="34">
        <v>75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30" s="31" customFormat="1" ht="16.5" thickBot="1">
      <c r="A70" s="64"/>
      <c r="B70" s="65" t="s">
        <v>40</v>
      </c>
      <c r="C70" s="66"/>
      <c r="D70" s="66">
        <f t="shared" ref="D70:R70" si="4">SUM(D38:D68)</f>
        <v>694.8599999999999</v>
      </c>
      <c r="E70" s="66">
        <f t="shared" si="4"/>
        <v>26.7</v>
      </c>
      <c r="F70" s="66">
        <f t="shared" si="4"/>
        <v>9.1300000000000008</v>
      </c>
      <c r="G70" s="66">
        <f t="shared" si="4"/>
        <v>27.33</v>
      </c>
      <c r="H70" s="66">
        <f t="shared" si="4"/>
        <v>11.150000000000002</v>
      </c>
      <c r="I70" s="66">
        <f t="shared" si="4"/>
        <v>97.27000000000001</v>
      </c>
      <c r="J70" s="66">
        <f t="shared" si="4"/>
        <v>726.93000000000006</v>
      </c>
      <c r="K70" s="66">
        <f t="shared" si="4"/>
        <v>0.37</v>
      </c>
      <c r="L70" s="66">
        <f t="shared" si="4"/>
        <v>27.709999999999997</v>
      </c>
      <c r="M70" s="66">
        <f t="shared" si="4"/>
        <v>43.370000000000005</v>
      </c>
      <c r="N70" s="66">
        <f t="shared" si="4"/>
        <v>4.79</v>
      </c>
      <c r="O70" s="66">
        <f t="shared" si="4"/>
        <v>131.38</v>
      </c>
      <c r="P70" s="66">
        <f t="shared" si="4"/>
        <v>672.65000000000009</v>
      </c>
      <c r="Q70" s="66">
        <f t="shared" si="4"/>
        <v>132.08000000000001</v>
      </c>
      <c r="R70" s="66">
        <f t="shared" si="4"/>
        <v>6.41</v>
      </c>
    </row>
    <row r="71" spans="1:30" ht="16.5" thickBot="1">
      <c r="A71" s="67"/>
      <c r="B71" s="68" t="s">
        <v>57</v>
      </c>
      <c r="C71" s="69"/>
      <c r="D71" s="69">
        <f t="shared" ref="D71:R71" si="5">D36+D70</f>
        <v>1135.6599999999999</v>
      </c>
      <c r="E71" s="69">
        <f t="shared" si="5"/>
        <v>41.43</v>
      </c>
      <c r="F71" s="69">
        <f t="shared" si="5"/>
        <v>16.27</v>
      </c>
      <c r="G71" s="121">
        <f t="shared" si="5"/>
        <v>47.929999999999993</v>
      </c>
      <c r="H71" s="69">
        <f t="shared" si="5"/>
        <v>13.630000000000003</v>
      </c>
      <c r="I71" s="69">
        <f t="shared" si="5"/>
        <v>162.74</v>
      </c>
      <c r="J71" s="69">
        <f t="shared" si="5"/>
        <v>1233.1300000000001</v>
      </c>
      <c r="K71" s="69">
        <f t="shared" si="5"/>
        <v>0.6</v>
      </c>
      <c r="L71" s="69">
        <f t="shared" si="5"/>
        <v>35.619999999999997</v>
      </c>
      <c r="M71" s="69">
        <f t="shared" si="5"/>
        <v>135.37</v>
      </c>
      <c r="N71" s="69">
        <f t="shared" si="5"/>
        <v>7.46</v>
      </c>
      <c r="O71" s="69">
        <f t="shared" si="5"/>
        <v>368.58</v>
      </c>
      <c r="P71" s="69">
        <f t="shared" si="5"/>
        <v>984.83000000000015</v>
      </c>
      <c r="Q71" s="69">
        <f t="shared" si="5"/>
        <v>268.76</v>
      </c>
      <c r="R71" s="69">
        <f t="shared" si="5"/>
        <v>14.030000000000001</v>
      </c>
    </row>
    <row r="73" spans="1:30" ht="15.75">
      <c r="B73" s="16"/>
      <c r="C73" s="1" t="s">
        <v>58</v>
      </c>
      <c r="D73" s="1"/>
      <c r="E73" s="1" t="s">
        <v>59</v>
      </c>
      <c r="F73" s="1"/>
      <c r="G73" s="1" t="s">
        <v>60</v>
      </c>
      <c r="H73" s="1"/>
      <c r="I73" s="1" t="s">
        <v>61</v>
      </c>
      <c r="J73" s="1" t="s">
        <v>62</v>
      </c>
      <c r="K73" s="70" t="s">
        <v>63</v>
      </c>
      <c r="L73" s="70" t="s">
        <v>13</v>
      </c>
      <c r="M73" s="70" t="s">
        <v>14</v>
      </c>
      <c r="N73" s="70" t="s">
        <v>15</v>
      </c>
      <c r="O73" s="70" t="s">
        <v>64</v>
      </c>
      <c r="P73" s="70" t="s">
        <v>17</v>
      </c>
      <c r="Q73" s="70" t="s">
        <v>18</v>
      </c>
      <c r="R73" s="70" t="s">
        <v>19</v>
      </c>
    </row>
    <row r="74" spans="1:30" ht="18.75">
      <c r="B74" s="71"/>
      <c r="C74" s="72">
        <v>77</v>
      </c>
      <c r="D74" s="72"/>
      <c r="E74" s="72">
        <v>79</v>
      </c>
      <c r="F74" s="72"/>
      <c r="G74" s="72">
        <v>335</v>
      </c>
      <c r="H74" s="72"/>
      <c r="I74" s="72">
        <v>2350</v>
      </c>
      <c r="J74" s="72">
        <v>1.2</v>
      </c>
      <c r="K74" s="73">
        <v>1.4</v>
      </c>
      <c r="L74" s="73">
        <v>60</v>
      </c>
      <c r="M74" s="73">
        <v>0.7</v>
      </c>
      <c r="N74" s="73">
        <v>10</v>
      </c>
      <c r="O74" s="73">
        <v>1110</v>
      </c>
      <c r="P74" s="73">
        <v>1650</v>
      </c>
      <c r="Q74" s="73">
        <v>250</v>
      </c>
      <c r="R74" s="73">
        <v>12</v>
      </c>
    </row>
    <row r="75" spans="1:30" ht="18.75">
      <c r="B75" s="71" t="s">
        <v>65</v>
      </c>
      <c r="C75" s="74">
        <v>20</v>
      </c>
      <c r="D75" s="74"/>
      <c r="E75" s="74">
        <v>20</v>
      </c>
      <c r="F75" s="74"/>
      <c r="G75" s="74">
        <v>20</v>
      </c>
      <c r="H75" s="74"/>
      <c r="I75" s="74">
        <v>20</v>
      </c>
      <c r="J75" s="74">
        <v>20</v>
      </c>
      <c r="K75" s="74">
        <v>20</v>
      </c>
      <c r="L75" s="74">
        <v>20</v>
      </c>
      <c r="M75" s="74">
        <v>20</v>
      </c>
      <c r="N75" s="74">
        <v>20</v>
      </c>
      <c r="O75" s="74">
        <v>20</v>
      </c>
      <c r="P75" s="74">
        <v>20</v>
      </c>
      <c r="Q75" s="74">
        <v>20</v>
      </c>
      <c r="R75" s="74">
        <v>20</v>
      </c>
    </row>
    <row r="76" spans="1:30" ht="18.75">
      <c r="B76" s="71"/>
      <c r="C76" s="74">
        <v>25</v>
      </c>
      <c r="D76" s="74"/>
      <c r="E76" s="74">
        <v>25</v>
      </c>
      <c r="F76" s="74"/>
      <c r="G76" s="74">
        <v>25</v>
      </c>
      <c r="H76" s="74"/>
      <c r="I76" s="74">
        <v>25</v>
      </c>
      <c r="J76" s="74">
        <v>25</v>
      </c>
      <c r="K76" s="74">
        <v>25</v>
      </c>
      <c r="L76" s="74">
        <v>25</v>
      </c>
      <c r="M76" s="74">
        <v>25</v>
      </c>
      <c r="N76" s="74">
        <v>25</v>
      </c>
      <c r="O76" s="74">
        <v>25</v>
      </c>
      <c r="P76" s="74">
        <v>25</v>
      </c>
      <c r="Q76" s="74">
        <v>25</v>
      </c>
      <c r="R76" s="74">
        <v>25</v>
      </c>
    </row>
    <row r="77" spans="1:30" ht="18.75">
      <c r="B77" s="71"/>
      <c r="C77" s="75">
        <v>30</v>
      </c>
      <c r="D77" s="75"/>
      <c r="E77" s="75">
        <v>30</v>
      </c>
      <c r="F77" s="75"/>
      <c r="G77" s="75">
        <v>30</v>
      </c>
      <c r="H77" s="75"/>
      <c r="I77" s="75">
        <v>30</v>
      </c>
      <c r="J77" s="75">
        <v>30</v>
      </c>
      <c r="K77" s="75">
        <v>30</v>
      </c>
      <c r="L77" s="75">
        <v>30</v>
      </c>
      <c r="M77" s="75">
        <v>30</v>
      </c>
      <c r="N77" s="75">
        <v>30</v>
      </c>
      <c r="O77" s="75">
        <v>30</v>
      </c>
      <c r="P77" s="75">
        <v>30</v>
      </c>
      <c r="Q77" s="75">
        <v>30</v>
      </c>
      <c r="R77" s="75">
        <v>30</v>
      </c>
    </row>
    <row r="78" spans="1:30" ht="18.75">
      <c r="B78" s="71"/>
      <c r="C78" s="75">
        <v>35</v>
      </c>
      <c r="D78" s="75"/>
      <c r="E78" s="75">
        <v>35</v>
      </c>
      <c r="F78" s="75"/>
      <c r="G78" s="75">
        <v>35</v>
      </c>
      <c r="H78" s="75"/>
      <c r="I78" s="75">
        <v>35</v>
      </c>
      <c r="J78" s="75">
        <v>35</v>
      </c>
      <c r="K78" s="75">
        <v>35</v>
      </c>
      <c r="L78" s="75">
        <v>35</v>
      </c>
      <c r="M78" s="75">
        <v>35</v>
      </c>
      <c r="N78" s="75">
        <v>35</v>
      </c>
      <c r="O78" s="75">
        <v>35</v>
      </c>
      <c r="P78" s="75">
        <v>35</v>
      </c>
      <c r="Q78" s="75">
        <v>35</v>
      </c>
      <c r="R78" s="75">
        <v>35</v>
      </c>
    </row>
    <row r="79" spans="1:30" ht="18.75">
      <c r="B79" s="71" t="s">
        <v>66</v>
      </c>
      <c r="C79" s="74">
        <f>C74*C75/100</f>
        <v>15.4</v>
      </c>
      <c r="D79" s="74"/>
      <c r="E79" s="74">
        <f t="shared" ref="E79:R79" si="6">E74*E75/100</f>
        <v>15.8</v>
      </c>
      <c r="F79" s="74"/>
      <c r="G79" s="74">
        <f t="shared" si="6"/>
        <v>67</v>
      </c>
      <c r="H79" s="74"/>
      <c r="I79" s="74">
        <f t="shared" si="6"/>
        <v>470</v>
      </c>
      <c r="J79" s="74">
        <f t="shared" si="6"/>
        <v>0.24</v>
      </c>
      <c r="K79" s="74">
        <f t="shared" si="6"/>
        <v>0.28000000000000003</v>
      </c>
      <c r="L79" s="74">
        <f t="shared" si="6"/>
        <v>12</v>
      </c>
      <c r="M79" s="74">
        <f t="shared" si="6"/>
        <v>0.14000000000000001</v>
      </c>
      <c r="N79" s="74">
        <f t="shared" si="6"/>
        <v>2</v>
      </c>
      <c r="O79" s="74">
        <f t="shared" si="6"/>
        <v>222</v>
      </c>
      <c r="P79" s="74">
        <f t="shared" si="6"/>
        <v>330</v>
      </c>
      <c r="Q79" s="74">
        <f t="shared" si="6"/>
        <v>50</v>
      </c>
      <c r="R79" s="74">
        <f t="shared" si="6"/>
        <v>2.4</v>
      </c>
    </row>
    <row r="80" spans="1:30" ht="18.75">
      <c r="B80" s="71"/>
      <c r="C80" s="74">
        <f>C74*C76/100</f>
        <v>19.25</v>
      </c>
      <c r="D80" s="74"/>
      <c r="E80" s="74">
        <f t="shared" ref="E80:R80" si="7">E74*E76/100</f>
        <v>19.75</v>
      </c>
      <c r="F80" s="74"/>
      <c r="G80" s="74">
        <f t="shared" si="7"/>
        <v>83.75</v>
      </c>
      <c r="H80" s="74"/>
      <c r="I80" s="74">
        <f t="shared" si="7"/>
        <v>587.5</v>
      </c>
      <c r="J80" s="74">
        <f t="shared" si="7"/>
        <v>0.3</v>
      </c>
      <c r="K80" s="74">
        <f t="shared" si="7"/>
        <v>0.35</v>
      </c>
      <c r="L80" s="74">
        <f t="shared" si="7"/>
        <v>15</v>
      </c>
      <c r="M80" s="74">
        <f t="shared" si="7"/>
        <v>0.17499999999999999</v>
      </c>
      <c r="N80" s="74">
        <f t="shared" si="7"/>
        <v>2.5</v>
      </c>
      <c r="O80" s="74">
        <f t="shared" si="7"/>
        <v>277.5</v>
      </c>
      <c r="P80" s="74">
        <f t="shared" si="7"/>
        <v>412.5</v>
      </c>
      <c r="Q80" s="74">
        <f t="shared" si="7"/>
        <v>62.5</v>
      </c>
      <c r="R80" s="74">
        <f t="shared" si="7"/>
        <v>3</v>
      </c>
    </row>
    <row r="81" spans="2:18" ht="18.75">
      <c r="B81" s="76" t="s">
        <v>67</v>
      </c>
      <c r="C81" s="77">
        <f>C74*C77/100</f>
        <v>23.1</v>
      </c>
      <c r="D81" s="77"/>
      <c r="E81" s="77">
        <f t="shared" ref="E81:R81" si="8">E74*E77/100</f>
        <v>23.7</v>
      </c>
      <c r="F81" s="77"/>
      <c r="G81" s="77">
        <f t="shared" si="8"/>
        <v>100.5</v>
      </c>
      <c r="H81" s="77"/>
      <c r="I81" s="77">
        <f t="shared" si="8"/>
        <v>705</v>
      </c>
      <c r="J81" s="77">
        <f t="shared" si="8"/>
        <v>0.36</v>
      </c>
      <c r="K81" s="77">
        <f t="shared" si="8"/>
        <v>0.42</v>
      </c>
      <c r="L81" s="77">
        <f t="shared" si="8"/>
        <v>18</v>
      </c>
      <c r="M81" s="77">
        <f t="shared" si="8"/>
        <v>0.21</v>
      </c>
      <c r="N81" s="77">
        <f t="shared" si="8"/>
        <v>3</v>
      </c>
      <c r="O81" s="77">
        <f t="shared" si="8"/>
        <v>333</v>
      </c>
      <c r="P81" s="77">
        <f t="shared" si="8"/>
        <v>495</v>
      </c>
      <c r="Q81" s="77">
        <f t="shared" si="8"/>
        <v>75</v>
      </c>
      <c r="R81" s="77">
        <f t="shared" si="8"/>
        <v>3.6</v>
      </c>
    </row>
    <row r="82" spans="2:18" ht="18.75">
      <c r="B82" s="76"/>
      <c r="C82" s="77">
        <f>C74*C78/100</f>
        <v>26.95</v>
      </c>
      <c r="D82" s="77"/>
      <c r="E82" s="77">
        <f t="shared" ref="E82:R82" si="9">E74*E78/100</f>
        <v>27.65</v>
      </c>
      <c r="F82" s="77"/>
      <c r="G82" s="77">
        <f t="shared" si="9"/>
        <v>117.25</v>
      </c>
      <c r="H82" s="77"/>
      <c r="I82" s="77">
        <f t="shared" si="9"/>
        <v>822.5</v>
      </c>
      <c r="J82" s="77">
        <f t="shared" si="9"/>
        <v>0.42</v>
      </c>
      <c r="K82" s="77">
        <f t="shared" si="9"/>
        <v>0.49</v>
      </c>
      <c r="L82" s="77">
        <f t="shared" si="9"/>
        <v>21</v>
      </c>
      <c r="M82" s="77">
        <f t="shared" si="9"/>
        <v>0.245</v>
      </c>
      <c r="N82" s="77">
        <f t="shared" si="9"/>
        <v>3.5</v>
      </c>
      <c r="O82" s="77">
        <f t="shared" si="9"/>
        <v>388.5</v>
      </c>
      <c r="P82" s="77">
        <f t="shared" si="9"/>
        <v>577.5</v>
      </c>
      <c r="Q82" s="77">
        <f t="shared" si="9"/>
        <v>87.5</v>
      </c>
      <c r="R82" s="77">
        <f t="shared" si="9"/>
        <v>4.2</v>
      </c>
    </row>
    <row r="83" spans="2:18">
      <c r="C83">
        <f>C79+C81</f>
        <v>38.5</v>
      </c>
      <c r="D83">
        <f t="shared" ref="D83:R84" si="10">D79+D81</f>
        <v>0</v>
      </c>
      <c r="E83">
        <f t="shared" si="10"/>
        <v>39.5</v>
      </c>
      <c r="F83">
        <f t="shared" si="10"/>
        <v>0</v>
      </c>
      <c r="G83">
        <f t="shared" si="10"/>
        <v>167.5</v>
      </c>
      <c r="H83">
        <f t="shared" si="10"/>
        <v>0</v>
      </c>
      <c r="I83">
        <f t="shared" si="10"/>
        <v>1175</v>
      </c>
      <c r="J83">
        <f t="shared" si="10"/>
        <v>0.6</v>
      </c>
      <c r="K83">
        <f t="shared" si="10"/>
        <v>0.7</v>
      </c>
      <c r="L83">
        <f t="shared" si="10"/>
        <v>30</v>
      </c>
      <c r="M83">
        <f t="shared" si="10"/>
        <v>0.35</v>
      </c>
      <c r="N83">
        <f t="shared" si="10"/>
        <v>5</v>
      </c>
      <c r="O83">
        <f t="shared" si="10"/>
        <v>555</v>
      </c>
      <c r="P83">
        <f t="shared" si="10"/>
        <v>825</v>
      </c>
      <c r="Q83">
        <f t="shared" si="10"/>
        <v>125</v>
      </c>
      <c r="R83">
        <f t="shared" si="10"/>
        <v>6</v>
      </c>
    </row>
    <row r="84" spans="2:18">
      <c r="C84">
        <f>C80+C82</f>
        <v>46.2</v>
      </c>
      <c r="D84">
        <f t="shared" si="10"/>
        <v>0</v>
      </c>
      <c r="E84">
        <f t="shared" si="10"/>
        <v>47.4</v>
      </c>
      <c r="F84">
        <f t="shared" si="10"/>
        <v>0</v>
      </c>
      <c r="G84">
        <f t="shared" si="10"/>
        <v>201</v>
      </c>
      <c r="H84">
        <f t="shared" si="10"/>
        <v>0</v>
      </c>
      <c r="I84">
        <f t="shared" si="10"/>
        <v>1410</v>
      </c>
      <c r="J84">
        <f t="shared" si="10"/>
        <v>0.72</v>
      </c>
      <c r="K84">
        <f t="shared" si="10"/>
        <v>0.84</v>
      </c>
      <c r="L84">
        <f t="shared" si="10"/>
        <v>36</v>
      </c>
      <c r="M84">
        <f t="shared" si="10"/>
        <v>0.42</v>
      </c>
      <c r="N84">
        <f t="shared" si="10"/>
        <v>6</v>
      </c>
      <c r="O84">
        <f t="shared" si="10"/>
        <v>666</v>
      </c>
      <c r="P84">
        <f t="shared" si="10"/>
        <v>990</v>
      </c>
      <c r="Q84">
        <f t="shared" si="10"/>
        <v>150</v>
      </c>
      <c r="R84">
        <f t="shared" si="10"/>
        <v>7.2</v>
      </c>
    </row>
  </sheetData>
  <mergeCells count="29">
    <mergeCell ref="B37:R37"/>
    <mergeCell ref="E7:M7"/>
    <mergeCell ref="E8:M8"/>
    <mergeCell ref="E9:M9"/>
    <mergeCell ref="E10:M10"/>
    <mergeCell ref="B17:R17"/>
    <mergeCell ref="U15:U16"/>
    <mergeCell ref="V15:V16"/>
    <mergeCell ref="W15:Z15"/>
    <mergeCell ref="AA15:AD15"/>
    <mergeCell ref="B16:R16"/>
    <mergeCell ref="I14:I15"/>
    <mergeCell ref="J14:J15"/>
    <mergeCell ref="K14:N14"/>
    <mergeCell ref="O14:R14"/>
    <mergeCell ref="S15:S16"/>
    <mergeCell ref="T15:T16"/>
    <mergeCell ref="F14:F15"/>
    <mergeCell ref="G14:G15"/>
    <mergeCell ref="H14:H15"/>
    <mergeCell ref="N1:Q1"/>
    <mergeCell ref="N2:Q2"/>
    <mergeCell ref="N3:Q3"/>
    <mergeCell ref="N4:Q4"/>
    <mergeCell ref="A14:A15"/>
    <mergeCell ref="B14:B15"/>
    <mergeCell ref="C14:C15"/>
    <mergeCell ref="D14:D15"/>
    <mergeCell ref="E14:E15"/>
  </mergeCells>
  <printOptions horizontalCentered="1" verticalCentered="1"/>
  <pageMargins left="0" right="0" top="0" bottom="0" header="0" footer="0"/>
  <pageSetup paperSize="9" scale="4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view="pageBreakPreview" zoomScale="60" zoomScaleNormal="6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A36" sqref="A36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  <col min="26" max="26" width="8" customWidth="1"/>
  </cols>
  <sheetData>
    <row r="1" spans="1:30" ht="15.75">
      <c r="A1" s="232" t="s">
        <v>0</v>
      </c>
      <c r="B1" s="233" t="s">
        <v>1</v>
      </c>
      <c r="C1" s="234" t="s">
        <v>2</v>
      </c>
      <c r="D1" s="244" t="s">
        <v>3</v>
      </c>
      <c r="E1" s="241" t="s">
        <v>4</v>
      </c>
      <c r="F1" s="239" t="s">
        <v>5</v>
      </c>
      <c r="G1" s="241" t="s">
        <v>6</v>
      </c>
      <c r="H1" s="239" t="s">
        <v>7</v>
      </c>
      <c r="I1" s="234" t="s">
        <v>8</v>
      </c>
      <c r="J1" s="234" t="s">
        <v>9</v>
      </c>
      <c r="K1" s="237" t="s">
        <v>10</v>
      </c>
      <c r="L1" s="237"/>
      <c r="M1" s="237"/>
      <c r="N1" s="237"/>
      <c r="O1" s="237" t="s">
        <v>11</v>
      </c>
      <c r="P1" s="237"/>
      <c r="Q1" s="237"/>
      <c r="R1" s="237"/>
    </row>
    <row r="2" spans="1:30" ht="72" customHeight="1">
      <c r="A2" s="232"/>
      <c r="B2" s="233"/>
      <c r="C2" s="234"/>
      <c r="D2" s="245"/>
      <c r="E2" s="241"/>
      <c r="F2" s="240"/>
      <c r="G2" s="241"/>
      <c r="H2" s="240"/>
      <c r="I2" s="234"/>
      <c r="J2" s="234"/>
      <c r="K2" s="111" t="s">
        <v>12</v>
      </c>
      <c r="L2" s="111" t="s">
        <v>13</v>
      </c>
      <c r="M2" s="111" t="s">
        <v>14</v>
      </c>
      <c r="N2" s="111" t="s">
        <v>15</v>
      </c>
      <c r="O2" s="111" t="s">
        <v>16</v>
      </c>
      <c r="P2" s="111" t="s">
        <v>17</v>
      </c>
      <c r="Q2" s="111" t="s">
        <v>18</v>
      </c>
      <c r="R2" s="111" t="s">
        <v>19</v>
      </c>
      <c r="S2" s="2" t="s">
        <v>4</v>
      </c>
      <c r="T2" s="2" t="s">
        <v>6</v>
      </c>
      <c r="U2" s="2" t="s">
        <v>8</v>
      </c>
      <c r="V2" s="2" t="s">
        <v>9</v>
      </c>
      <c r="W2" s="237" t="s">
        <v>10</v>
      </c>
      <c r="X2" s="237"/>
      <c r="Y2" s="237"/>
      <c r="Z2" s="237"/>
      <c r="AA2" s="237" t="s">
        <v>11</v>
      </c>
      <c r="AB2" s="237"/>
      <c r="AC2" s="237"/>
      <c r="AD2" s="237"/>
    </row>
    <row r="3" spans="1:30" ht="15.75">
      <c r="A3" s="15"/>
      <c r="B3" s="246" t="s">
        <v>221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86"/>
    </row>
    <row r="4" spans="1:30" ht="16.5" thickBot="1">
      <c r="A4" s="5"/>
      <c r="B4" s="247" t="s">
        <v>21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6"/>
    </row>
    <row r="5" spans="1:30" ht="16.5" thickBot="1">
      <c r="A5" s="7" t="s">
        <v>344</v>
      </c>
      <c r="B5" s="8" t="s">
        <v>343</v>
      </c>
      <c r="C5" s="9">
        <v>45</v>
      </c>
      <c r="D5" s="9">
        <f>35.9/50*45</f>
        <v>32.31</v>
      </c>
      <c r="E5" s="9">
        <v>4.2300000000000004</v>
      </c>
      <c r="F5" s="9">
        <v>4.2300000000000004</v>
      </c>
      <c r="G5" s="9">
        <v>6.75</v>
      </c>
      <c r="H5" s="9"/>
      <c r="I5" s="9">
        <v>0.61</v>
      </c>
      <c r="J5" s="9">
        <v>94.18</v>
      </c>
      <c r="K5" s="9">
        <v>0</v>
      </c>
      <c r="L5" s="9">
        <v>0</v>
      </c>
      <c r="M5" s="9">
        <v>0</v>
      </c>
      <c r="N5" s="9">
        <v>0.3</v>
      </c>
      <c r="O5" s="9">
        <v>9.6</v>
      </c>
      <c r="P5" s="9">
        <v>49.3</v>
      </c>
      <c r="Q5" s="9">
        <v>5.3</v>
      </c>
      <c r="R5" s="10">
        <v>0.6</v>
      </c>
    </row>
    <row r="6" spans="1:30" ht="15.75">
      <c r="A6" s="3"/>
      <c r="B6" s="87" t="s">
        <v>22</v>
      </c>
      <c r="C6" s="12">
        <v>40</v>
      </c>
      <c r="D6" s="2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30" ht="16.5" thickBot="1">
      <c r="A7" s="5"/>
      <c r="B7" s="89" t="s">
        <v>23</v>
      </c>
      <c r="C7" s="14">
        <v>4.5</v>
      </c>
      <c r="D7" s="2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30" ht="16.5" thickBot="1">
      <c r="A8" s="7" t="s">
        <v>346</v>
      </c>
      <c r="B8" s="8" t="s">
        <v>345</v>
      </c>
      <c r="C8" s="9">
        <v>150</v>
      </c>
      <c r="D8" s="9">
        <v>106.4</v>
      </c>
      <c r="E8" s="79">
        <v>5.0999999999999996</v>
      </c>
      <c r="F8" s="79"/>
      <c r="G8" s="79">
        <v>7.5</v>
      </c>
      <c r="H8" s="79">
        <v>7.5</v>
      </c>
      <c r="I8" s="79">
        <v>28.5</v>
      </c>
      <c r="J8" s="79">
        <v>201.9</v>
      </c>
      <c r="K8" s="79">
        <v>0.06</v>
      </c>
      <c r="L8" s="79"/>
      <c r="M8" s="79"/>
      <c r="N8" s="79">
        <v>1.95</v>
      </c>
      <c r="O8" s="79">
        <v>12</v>
      </c>
      <c r="P8" s="79">
        <v>34.5</v>
      </c>
      <c r="Q8" s="79">
        <v>7.5</v>
      </c>
      <c r="R8" s="80">
        <v>0.75</v>
      </c>
    </row>
    <row r="9" spans="1:30" ht="15.75">
      <c r="A9" s="3"/>
      <c r="B9" s="87" t="s">
        <v>76</v>
      </c>
      <c r="C9" s="12">
        <v>30</v>
      </c>
      <c r="D9" s="12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30" ht="16.5" thickBot="1">
      <c r="A10" s="15"/>
      <c r="B10" s="88" t="s">
        <v>53</v>
      </c>
      <c r="C10" s="18">
        <f>35/1000*150</f>
        <v>5.2500000000000009</v>
      </c>
      <c r="D10" s="1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30" ht="16.5" thickBot="1">
      <c r="A11" s="7"/>
      <c r="B11" s="8" t="s">
        <v>193</v>
      </c>
      <c r="C11" s="9">
        <v>250</v>
      </c>
      <c r="D11" s="9">
        <f>161.4/200*250</f>
        <v>201.75</v>
      </c>
      <c r="E11" s="9">
        <v>3.18</v>
      </c>
      <c r="F11" s="9"/>
      <c r="G11" s="9">
        <v>1.26</v>
      </c>
      <c r="H11" s="9">
        <v>0.25</v>
      </c>
      <c r="I11" s="9">
        <v>35.25</v>
      </c>
      <c r="J11" s="9">
        <v>108.12</v>
      </c>
      <c r="K11" s="9">
        <v>2.5000000000000001E-2</v>
      </c>
      <c r="L11" s="9">
        <f>4/200*250</f>
        <v>5</v>
      </c>
      <c r="M11" s="9"/>
      <c r="N11" s="9">
        <v>0.25</v>
      </c>
      <c r="O11" s="9">
        <f>14/200*250</f>
        <v>17.5</v>
      </c>
      <c r="P11" s="9">
        <f>14/200*250</f>
        <v>17.5</v>
      </c>
      <c r="Q11" s="9">
        <f>8/200*250</f>
        <v>10</v>
      </c>
      <c r="R11" s="10">
        <f>2.8/200*250</f>
        <v>3.4999999999999996</v>
      </c>
    </row>
    <row r="12" spans="1:30" ht="16.5" thickBot="1">
      <c r="A12" s="19"/>
      <c r="B12" s="167" t="s">
        <v>193</v>
      </c>
      <c r="C12" s="22">
        <v>250</v>
      </c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30" ht="16.5" thickBot="1">
      <c r="A13" s="23" t="s">
        <v>35</v>
      </c>
      <c r="B13" s="24" t="s">
        <v>36</v>
      </c>
      <c r="C13" s="25">
        <v>40</v>
      </c>
      <c r="D13" s="25">
        <v>15.2</v>
      </c>
      <c r="E13" s="25">
        <v>3.16</v>
      </c>
      <c r="F13" s="25"/>
      <c r="G13" s="25">
        <v>0.4</v>
      </c>
      <c r="H13" s="25">
        <v>0.4</v>
      </c>
      <c r="I13" s="25">
        <v>19.32</v>
      </c>
      <c r="J13" s="25">
        <v>93.52</v>
      </c>
      <c r="K13" s="25">
        <v>0.04</v>
      </c>
      <c r="L13" s="25"/>
      <c r="M13" s="25"/>
      <c r="N13" s="25">
        <v>0.52</v>
      </c>
      <c r="O13" s="25">
        <v>9.1999999999999993</v>
      </c>
      <c r="P13" s="25">
        <v>34.799999999999997</v>
      </c>
      <c r="Q13" s="25">
        <v>13.2</v>
      </c>
      <c r="R13" s="26">
        <v>0.44</v>
      </c>
    </row>
    <row r="14" spans="1:30" ht="16.5" thickBot="1">
      <c r="A14" s="19"/>
      <c r="B14" s="27" t="s">
        <v>37</v>
      </c>
      <c r="C14" s="21">
        <v>40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>
        <v>77</v>
      </c>
      <c r="T14">
        <v>79</v>
      </c>
      <c r="U14">
        <v>335</v>
      </c>
      <c r="V14">
        <v>2350</v>
      </c>
      <c r="W14">
        <v>1.2</v>
      </c>
      <c r="X14">
        <v>60</v>
      </c>
      <c r="Y14">
        <v>0.7</v>
      </c>
      <c r="Z14">
        <v>10</v>
      </c>
      <c r="AA14">
        <v>1100</v>
      </c>
      <c r="AB14">
        <v>1650</v>
      </c>
      <c r="AC14">
        <v>250</v>
      </c>
      <c r="AD14">
        <v>12</v>
      </c>
    </row>
    <row r="15" spans="1:30" ht="16.5" thickBot="1">
      <c r="A15" s="36"/>
      <c r="B15" s="37" t="s">
        <v>40</v>
      </c>
      <c r="C15" s="38"/>
      <c r="D15" s="38">
        <f t="shared" ref="D15:R15" si="0">SUM(D5:D14)</f>
        <v>355.66</v>
      </c>
      <c r="E15" s="38">
        <f t="shared" si="0"/>
        <v>15.67</v>
      </c>
      <c r="F15" s="38">
        <f t="shared" si="0"/>
        <v>4.2300000000000004</v>
      </c>
      <c r="G15" s="38">
        <f t="shared" si="0"/>
        <v>15.91</v>
      </c>
      <c r="H15" s="38">
        <f t="shared" si="0"/>
        <v>8.15</v>
      </c>
      <c r="I15" s="38">
        <f t="shared" si="0"/>
        <v>83.68</v>
      </c>
      <c r="J15" s="38">
        <f t="shared" si="0"/>
        <v>497.72</v>
      </c>
      <c r="K15" s="38">
        <f t="shared" si="0"/>
        <v>0.125</v>
      </c>
      <c r="L15" s="38">
        <f t="shared" si="0"/>
        <v>5</v>
      </c>
      <c r="M15" s="38">
        <f t="shared" si="0"/>
        <v>0</v>
      </c>
      <c r="N15" s="38">
        <f t="shared" si="0"/>
        <v>3.02</v>
      </c>
      <c r="O15" s="38">
        <f t="shared" si="0"/>
        <v>48.3</v>
      </c>
      <c r="P15" s="38">
        <f t="shared" si="0"/>
        <v>136.1</v>
      </c>
      <c r="Q15" s="38">
        <f t="shared" si="0"/>
        <v>36</v>
      </c>
      <c r="R15" s="38">
        <f t="shared" si="0"/>
        <v>5.29</v>
      </c>
    </row>
    <row r="16" spans="1:30" ht="16.5" thickBot="1">
      <c r="A16" s="19"/>
      <c r="B16" s="242" t="s">
        <v>41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81"/>
    </row>
    <row r="17" spans="1:18" ht="16.5" thickBot="1">
      <c r="A17" s="7" t="s">
        <v>348</v>
      </c>
      <c r="B17" s="8" t="s">
        <v>347</v>
      </c>
      <c r="C17" s="28">
        <v>100</v>
      </c>
      <c r="D17" s="28">
        <f>79.4</f>
        <v>79.400000000000006</v>
      </c>
      <c r="E17" s="28">
        <f>1.62</f>
        <v>1.62</v>
      </c>
      <c r="F17" s="28"/>
      <c r="G17" s="28">
        <f>5.18</f>
        <v>5.18</v>
      </c>
      <c r="H17" s="28">
        <v>3.72</v>
      </c>
      <c r="I17" s="28">
        <f>8.12/80*100</f>
        <v>10.149999999999999</v>
      </c>
      <c r="J17" s="28">
        <f>97.88</f>
        <v>97.88</v>
      </c>
      <c r="K17" s="28">
        <f>0.1</f>
        <v>0.1</v>
      </c>
      <c r="L17" s="28">
        <f>13</f>
        <v>13</v>
      </c>
      <c r="M17" s="28"/>
      <c r="N17" s="28">
        <f>2.95</f>
        <v>2.95</v>
      </c>
      <c r="O17" s="28">
        <f>40.4</f>
        <v>40.4</v>
      </c>
      <c r="P17" s="28">
        <f>48.8</f>
        <v>48.8</v>
      </c>
      <c r="Q17" s="28">
        <f>23.4</f>
        <v>23.4</v>
      </c>
      <c r="R17" s="168">
        <f>1.02</f>
        <v>1.02</v>
      </c>
    </row>
    <row r="18" spans="1:18" ht="15.75">
      <c r="A18" s="46"/>
      <c r="B18" s="87" t="s">
        <v>48</v>
      </c>
      <c r="C18" s="4">
        <f>46</f>
        <v>46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15.75">
      <c r="A19" s="47"/>
      <c r="B19" s="88" t="s">
        <v>46</v>
      </c>
      <c r="C19" s="86">
        <f>31</f>
        <v>31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15.75">
      <c r="A20" s="47"/>
      <c r="B20" s="88" t="s">
        <v>25</v>
      </c>
      <c r="C20" s="86">
        <f>18</f>
        <v>18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15.75">
      <c r="A21" s="47"/>
      <c r="B21" s="88" t="s">
        <v>199</v>
      </c>
      <c r="C21" s="86">
        <f>18</f>
        <v>18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15.75">
      <c r="A22" s="48"/>
      <c r="B22" s="89" t="s">
        <v>26</v>
      </c>
      <c r="C22" s="6">
        <f>6</f>
        <v>6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15.75">
      <c r="A23" s="48"/>
      <c r="B23" s="89" t="s">
        <v>242</v>
      </c>
      <c r="C23" s="6">
        <f>11</f>
        <v>11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8" ht="16.5" thickBot="1">
      <c r="A24" s="48"/>
      <c r="B24" s="89" t="s">
        <v>44</v>
      </c>
      <c r="C24" s="6">
        <v>2.5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18" ht="16.5" thickBot="1">
      <c r="A25" s="7" t="s">
        <v>350</v>
      </c>
      <c r="B25" s="8" t="s">
        <v>349</v>
      </c>
      <c r="C25" s="9">
        <v>250</v>
      </c>
      <c r="D25" s="9">
        <v>240.4</v>
      </c>
      <c r="E25" s="79">
        <v>2.7</v>
      </c>
      <c r="F25" s="79"/>
      <c r="G25" s="79">
        <v>2.78</v>
      </c>
      <c r="H25" s="79">
        <v>2.78</v>
      </c>
      <c r="I25" s="79">
        <v>17.579999999999998</v>
      </c>
      <c r="J25" s="79">
        <v>90.68</v>
      </c>
      <c r="K25" s="79">
        <v>0.06</v>
      </c>
      <c r="L25" s="79">
        <v>10</v>
      </c>
      <c r="M25" s="79"/>
      <c r="N25" s="79"/>
      <c r="O25" s="79">
        <v>49.25</v>
      </c>
      <c r="P25" s="79">
        <v>222.5</v>
      </c>
      <c r="Q25" s="79">
        <v>26.5</v>
      </c>
      <c r="R25" s="80">
        <v>0.78</v>
      </c>
    </row>
    <row r="26" spans="1:18" ht="15.75">
      <c r="A26" s="46"/>
      <c r="B26" s="87" t="s">
        <v>47</v>
      </c>
      <c r="C26" s="12">
        <f>150/4</f>
        <v>37.5</v>
      </c>
      <c r="D26" s="1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.75">
      <c r="A27" s="47"/>
      <c r="B27" s="88" t="s">
        <v>48</v>
      </c>
      <c r="C27" s="18">
        <f>133/4</f>
        <v>33.25</v>
      </c>
      <c r="D27" s="1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5.75">
      <c r="A28" s="47"/>
      <c r="B28" s="88" t="s">
        <v>197</v>
      </c>
      <c r="C28" s="18">
        <v>10</v>
      </c>
      <c r="D28" s="1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5.75">
      <c r="A29" s="47"/>
      <c r="B29" s="88" t="s">
        <v>25</v>
      </c>
      <c r="C29" s="18">
        <f>50/4</f>
        <v>12.5</v>
      </c>
      <c r="D29" s="18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5.75">
      <c r="A30" s="47"/>
      <c r="B30" s="88" t="s">
        <v>49</v>
      </c>
      <c r="C30" s="18">
        <v>12</v>
      </c>
      <c r="D30" s="1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5.75">
      <c r="A31" s="48"/>
      <c r="B31" s="89" t="s">
        <v>44</v>
      </c>
      <c r="C31" s="14">
        <v>2.5</v>
      </c>
      <c r="D31" s="14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5.75">
      <c r="A32" s="48"/>
      <c r="B32" s="89" t="s">
        <v>50</v>
      </c>
      <c r="C32" s="14">
        <f>850/4</f>
        <v>212.5</v>
      </c>
      <c r="D32" s="1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30" ht="16.5" thickBot="1">
      <c r="A33" s="48"/>
      <c r="B33" s="123" t="s">
        <v>51</v>
      </c>
      <c r="C33" s="124">
        <v>5</v>
      </c>
      <c r="D33" s="14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30" ht="16.5" thickBot="1">
      <c r="A34" s="7" t="s">
        <v>351</v>
      </c>
      <c r="B34" s="8" t="s">
        <v>30</v>
      </c>
      <c r="C34" s="9">
        <v>40</v>
      </c>
      <c r="D34" s="9">
        <v>29.6</v>
      </c>
      <c r="E34" s="9">
        <v>5.08</v>
      </c>
      <c r="F34" s="9">
        <v>5.08</v>
      </c>
      <c r="G34" s="9">
        <v>4.5999999999999996</v>
      </c>
      <c r="H34" s="9"/>
      <c r="I34" s="9">
        <v>0.4</v>
      </c>
      <c r="J34" s="9">
        <v>62.84</v>
      </c>
      <c r="K34" s="9">
        <v>0.03</v>
      </c>
      <c r="L34" s="9">
        <v>0</v>
      </c>
      <c r="M34" s="9">
        <v>100</v>
      </c>
      <c r="N34" s="9">
        <v>0.24</v>
      </c>
      <c r="O34" s="9">
        <v>22</v>
      </c>
      <c r="P34" s="9">
        <v>76.8</v>
      </c>
      <c r="Q34" s="9">
        <v>4.8</v>
      </c>
      <c r="R34" s="10">
        <v>1</v>
      </c>
    </row>
    <row r="35" spans="1:30" ht="16.5" thickBot="1">
      <c r="A35" s="19"/>
      <c r="B35" s="27" t="s">
        <v>31</v>
      </c>
      <c r="C35" s="132" t="s">
        <v>32</v>
      </c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30" ht="16.5" thickBot="1">
      <c r="A36" s="7" t="s">
        <v>335</v>
      </c>
      <c r="B36" s="8" t="s">
        <v>241</v>
      </c>
      <c r="C36" s="9">
        <v>150</v>
      </c>
      <c r="D36" s="9">
        <f>161/2.3*1.5</f>
        <v>105</v>
      </c>
      <c r="E36" s="79">
        <v>13.3</v>
      </c>
      <c r="F36" s="79">
        <f>16.6/200*150</f>
        <v>12.450000000000001</v>
      </c>
      <c r="G36" s="79">
        <f>20.9/200*150</f>
        <v>15.674999999999999</v>
      </c>
      <c r="H36" s="79">
        <f>4.7/200*150</f>
        <v>3.5249999999999999</v>
      </c>
      <c r="I36" s="79">
        <f>18.8/200*150</f>
        <v>14.1</v>
      </c>
      <c r="J36" s="79">
        <f>328/200*150</f>
        <v>245.99999999999997</v>
      </c>
      <c r="K36" s="79">
        <f>0.36/200*150</f>
        <v>0.27</v>
      </c>
      <c r="L36" s="79">
        <f>24.5/200*150</f>
        <v>18.375</v>
      </c>
      <c r="M36" s="79"/>
      <c r="N36" s="79">
        <f>1.4/200*150</f>
        <v>1.0499999999999998</v>
      </c>
      <c r="O36" s="79">
        <f>31.6/200*150</f>
        <v>23.7</v>
      </c>
      <c r="P36" s="79">
        <f>247.7/200*150</f>
        <v>185.77499999999998</v>
      </c>
      <c r="Q36" s="79">
        <f>49.4/200*150</f>
        <v>37.049999999999997</v>
      </c>
      <c r="R36" s="80">
        <f>3.9/200*150</f>
        <v>2.9249999999999998</v>
      </c>
    </row>
    <row r="37" spans="1:30" ht="15.75">
      <c r="A37" s="46"/>
      <c r="B37" s="87" t="s">
        <v>198</v>
      </c>
      <c r="C37" s="12">
        <f>24.2*1.5</f>
        <v>36.299999999999997</v>
      </c>
      <c r="D37" s="12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30" ht="15.75">
      <c r="A38" s="47"/>
      <c r="B38" s="88" t="s">
        <v>48</v>
      </c>
      <c r="C38" s="18">
        <v>128</v>
      </c>
      <c r="D38" s="18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30" ht="15.75">
      <c r="A39" s="47"/>
      <c r="B39" s="88" t="s">
        <v>49</v>
      </c>
      <c r="C39" s="18">
        <f>10*1.5</f>
        <v>15</v>
      </c>
      <c r="D39" s="18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30" ht="15.75">
      <c r="A40" s="47"/>
      <c r="B40" s="88" t="s">
        <v>25</v>
      </c>
      <c r="C40" s="18">
        <v>15</v>
      </c>
      <c r="D40" s="18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30" ht="15.75">
      <c r="A41" s="47"/>
      <c r="B41" s="88" t="s">
        <v>27</v>
      </c>
      <c r="C41" s="18">
        <v>1.5</v>
      </c>
      <c r="D41" s="18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30" ht="16.5" thickBot="1">
      <c r="A42" s="47"/>
      <c r="B42" s="88" t="s">
        <v>44</v>
      </c>
      <c r="C42" s="18">
        <v>1.5</v>
      </c>
      <c r="D42" s="18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30" ht="16.5" thickBot="1">
      <c r="A43" s="7"/>
      <c r="B43" s="8" t="s">
        <v>193</v>
      </c>
      <c r="C43" s="9">
        <v>250</v>
      </c>
      <c r="D43" s="9">
        <f>161.4/200*250</f>
        <v>201.75</v>
      </c>
      <c r="E43" s="9">
        <f>1/200*250</f>
        <v>1.25</v>
      </c>
      <c r="F43" s="9"/>
      <c r="G43" s="9">
        <f>0.2/200*250</f>
        <v>0.25</v>
      </c>
      <c r="H43" s="9">
        <v>0.25</v>
      </c>
      <c r="I43" s="9">
        <v>35.25</v>
      </c>
      <c r="J43" s="9">
        <v>108.12</v>
      </c>
      <c r="K43" s="9">
        <v>2.5000000000000001E-2</v>
      </c>
      <c r="L43" s="9">
        <f>4/200*250</f>
        <v>5</v>
      </c>
      <c r="M43" s="9"/>
      <c r="N43" s="9">
        <v>0.25</v>
      </c>
      <c r="O43" s="9">
        <f>14/200*250</f>
        <v>17.5</v>
      </c>
      <c r="P43" s="9">
        <f>14/200*250</f>
        <v>17.5</v>
      </c>
      <c r="Q43" s="9">
        <f>8/200*250</f>
        <v>10</v>
      </c>
      <c r="R43" s="10">
        <f>2.8/200*250</f>
        <v>3.4999999999999996</v>
      </c>
    </row>
    <row r="44" spans="1:30" ht="16.5" thickBot="1">
      <c r="A44" s="19"/>
      <c r="B44" s="167" t="s">
        <v>193</v>
      </c>
      <c r="C44" s="22">
        <v>250</v>
      </c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30" ht="16.5" thickBot="1">
      <c r="A45" s="7"/>
      <c r="B45" s="62" t="s">
        <v>38</v>
      </c>
      <c r="C45" s="59">
        <v>75</v>
      </c>
      <c r="D45" s="59">
        <v>66.099999999999994</v>
      </c>
      <c r="E45" s="59">
        <v>0.64</v>
      </c>
      <c r="F45" s="59"/>
      <c r="G45" s="59">
        <v>0.11</v>
      </c>
      <c r="H45" s="59">
        <v>0.11</v>
      </c>
      <c r="I45" s="59">
        <v>6.11</v>
      </c>
      <c r="J45" s="59">
        <v>27.96</v>
      </c>
      <c r="K45" s="59">
        <v>0.03</v>
      </c>
      <c r="L45" s="59">
        <v>45</v>
      </c>
      <c r="M45" s="59"/>
      <c r="N45" s="59">
        <v>0.03</v>
      </c>
      <c r="O45" s="59">
        <v>25.71</v>
      </c>
      <c r="P45" s="59">
        <v>17.14</v>
      </c>
      <c r="Q45" s="59">
        <v>9.64</v>
      </c>
      <c r="R45" s="60">
        <v>0.21</v>
      </c>
    </row>
    <row r="46" spans="1:30" ht="16.5" thickBot="1">
      <c r="A46" s="55"/>
      <c r="B46" s="27" t="s">
        <v>88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63"/>
    </row>
    <row r="47" spans="1:30" ht="16.5" thickBot="1">
      <c r="A47" s="23" t="s">
        <v>35</v>
      </c>
      <c r="B47" s="24" t="s">
        <v>36</v>
      </c>
      <c r="C47" s="25">
        <v>40</v>
      </c>
      <c r="D47" s="25">
        <v>15.2</v>
      </c>
      <c r="E47" s="25">
        <v>3.16</v>
      </c>
      <c r="F47" s="25"/>
      <c r="G47" s="25">
        <v>0.4</v>
      </c>
      <c r="H47" s="25">
        <v>0.4</v>
      </c>
      <c r="I47" s="25">
        <v>19.32</v>
      </c>
      <c r="J47" s="25">
        <v>93.52</v>
      </c>
      <c r="K47" s="25">
        <v>0.04</v>
      </c>
      <c r="L47" s="25"/>
      <c r="M47" s="25"/>
      <c r="N47" s="25">
        <v>0.52</v>
      </c>
      <c r="O47" s="25">
        <v>9.1999999999999993</v>
      </c>
      <c r="P47" s="25">
        <v>34.799999999999997</v>
      </c>
      <c r="Q47" s="25">
        <v>13.2</v>
      </c>
      <c r="R47" s="26">
        <v>0.44</v>
      </c>
    </row>
    <row r="48" spans="1:30" ht="16.5" thickBot="1">
      <c r="A48" s="19"/>
      <c r="B48" s="27" t="s">
        <v>37</v>
      </c>
      <c r="C48" s="21">
        <v>40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>
        <v>77</v>
      </c>
      <c r="T48">
        <v>79</v>
      </c>
      <c r="U48">
        <v>335</v>
      </c>
      <c r="V48">
        <v>2350</v>
      </c>
      <c r="W48">
        <v>1.2</v>
      </c>
      <c r="X48">
        <v>60</v>
      </c>
      <c r="Y48">
        <v>0.7</v>
      </c>
      <c r="Z48">
        <v>10</v>
      </c>
      <c r="AA48">
        <v>1100</v>
      </c>
      <c r="AB48">
        <v>1650</v>
      </c>
      <c r="AC48">
        <v>250</v>
      </c>
      <c r="AD48">
        <v>12</v>
      </c>
    </row>
    <row r="49" spans="1:18" ht="16.5" thickBot="1">
      <c r="A49" s="64"/>
      <c r="B49" s="65" t="s">
        <v>40</v>
      </c>
      <c r="C49" s="66"/>
      <c r="D49" s="66">
        <f t="shared" ref="D49:R49" si="1">SUM(D17:D48)</f>
        <v>737.45000000000016</v>
      </c>
      <c r="E49" s="66">
        <f t="shared" si="1"/>
        <v>27.750000000000004</v>
      </c>
      <c r="F49" s="66">
        <f t="shared" si="1"/>
        <v>17.53</v>
      </c>
      <c r="G49" s="66">
        <f t="shared" si="1"/>
        <v>28.994999999999997</v>
      </c>
      <c r="H49" s="66">
        <f t="shared" si="1"/>
        <v>10.785</v>
      </c>
      <c r="I49" s="206">
        <f t="shared" si="1"/>
        <v>102.91</v>
      </c>
      <c r="J49" s="206">
        <f t="shared" si="1"/>
        <v>727</v>
      </c>
      <c r="K49" s="66">
        <f t="shared" si="1"/>
        <v>0.55500000000000005</v>
      </c>
      <c r="L49" s="66">
        <f t="shared" si="1"/>
        <v>91.375</v>
      </c>
      <c r="M49" s="66">
        <f t="shared" si="1"/>
        <v>100</v>
      </c>
      <c r="N49" s="66">
        <f t="shared" si="1"/>
        <v>5.0400000000000009</v>
      </c>
      <c r="O49" s="66">
        <f t="shared" si="1"/>
        <v>187.76</v>
      </c>
      <c r="P49" s="66">
        <f t="shared" si="1"/>
        <v>603.31499999999994</v>
      </c>
      <c r="Q49" s="66">
        <f t="shared" si="1"/>
        <v>124.59</v>
      </c>
      <c r="R49" s="66">
        <f t="shared" si="1"/>
        <v>9.875</v>
      </c>
    </row>
    <row r="50" spans="1:18" ht="16.5" thickBot="1">
      <c r="A50" s="67"/>
      <c r="B50" s="68" t="s">
        <v>57</v>
      </c>
      <c r="C50" s="69"/>
      <c r="D50" s="69">
        <f t="shared" ref="D50:R50" si="2">D49+D15</f>
        <v>1093.1100000000001</v>
      </c>
      <c r="E50" s="69">
        <f t="shared" si="2"/>
        <v>43.42</v>
      </c>
      <c r="F50" s="69">
        <f t="shared" si="2"/>
        <v>21.76</v>
      </c>
      <c r="G50" s="69">
        <f t="shared" si="2"/>
        <v>44.905000000000001</v>
      </c>
      <c r="H50" s="69">
        <f t="shared" si="2"/>
        <v>18.935000000000002</v>
      </c>
      <c r="I50" s="69">
        <f t="shared" si="2"/>
        <v>186.59</v>
      </c>
      <c r="J50" s="69">
        <f t="shared" si="2"/>
        <v>1224.72</v>
      </c>
      <c r="K50" s="69">
        <f t="shared" si="2"/>
        <v>0.68</v>
      </c>
      <c r="L50" s="69">
        <f t="shared" si="2"/>
        <v>96.375</v>
      </c>
      <c r="M50" s="69">
        <f t="shared" si="2"/>
        <v>100</v>
      </c>
      <c r="N50" s="69">
        <f t="shared" si="2"/>
        <v>8.06</v>
      </c>
      <c r="O50" s="69">
        <f t="shared" si="2"/>
        <v>236.06</v>
      </c>
      <c r="P50" s="69">
        <f t="shared" si="2"/>
        <v>739.41499999999996</v>
      </c>
      <c r="Q50" s="69">
        <f t="shared" si="2"/>
        <v>160.59</v>
      </c>
      <c r="R50" s="69">
        <f t="shared" si="2"/>
        <v>15.164999999999999</v>
      </c>
    </row>
  </sheetData>
  <mergeCells count="17">
    <mergeCell ref="A1:A2"/>
    <mergeCell ref="B1:B2"/>
    <mergeCell ref="C1:C2"/>
    <mergeCell ref="D1:D2"/>
    <mergeCell ref="E1:E2"/>
    <mergeCell ref="W2:Z2"/>
    <mergeCell ref="AA2:AD2"/>
    <mergeCell ref="B3:Q3"/>
    <mergeCell ref="B4:Q4"/>
    <mergeCell ref="B16:Q16"/>
    <mergeCell ref="G1:G2"/>
    <mergeCell ref="H1:H2"/>
    <mergeCell ref="I1:I2"/>
    <mergeCell ref="J1:J2"/>
    <mergeCell ref="K1:N1"/>
    <mergeCell ref="O1:R1"/>
    <mergeCell ref="F1:F2"/>
  </mergeCells>
  <printOptions horizontalCentered="1" verticalCentered="1"/>
  <pageMargins left="0" right="0" top="0" bottom="0" header="0" footer="0"/>
  <pageSetup paperSize="9" scale="53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6"/>
  <sheetViews>
    <sheetView topLeftCell="A5" zoomScale="70" zoomScaleNormal="70" workbookViewId="0">
      <selection activeCell="U31" sqref="U31"/>
    </sheetView>
  </sheetViews>
  <sheetFormatPr defaultRowHeight="15"/>
  <cols>
    <col min="1" max="1" width="17.5703125" customWidth="1"/>
    <col min="2" max="2" width="8.5703125" customWidth="1"/>
    <col min="3" max="15" width="7.42578125" customWidth="1"/>
    <col min="16" max="16" width="9.28515625" customWidth="1"/>
  </cols>
  <sheetData>
    <row r="1" spans="1:20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20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20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20" ht="15" customHeight="1">
      <c r="A4" s="270" t="s">
        <v>182</v>
      </c>
      <c r="B4" s="264" t="s">
        <v>183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20" ht="15.75" customHeight="1" thickBot="1">
      <c r="A5" s="270"/>
      <c r="B5" s="266" t="s">
        <v>184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1:20" ht="76.5" customHeight="1" thickBot="1">
      <c r="A6" s="264"/>
      <c r="B6" s="159" t="s">
        <v>185</v>
      </c>
      <c r="C6" s="160">
        <f>'энерг ценность'!C8+'энерг ценность'!E8</f>
        <v>50</v>
      </c>
      <c r="D6" s="161">
        <f>'энерг ценность'!D8+'энерг ценность'!F8</f>
        <v>60</v>
      </c>
      <c r="E6" s="162">
        <v>1</v>
      </c>
      <c r="F6" s="163">
        <v>2</v>
      </c>
      <c r="G6" s="163">
        <v>3</v>
      </c>
      <c r="H6" s="163">
        <v>4</v>
      </c>
      <c r="I6" s="163">
        <v>5</v>
      </c>
      <c r="J6" s="163">
        <v>6</v>
      </c>
      <c r="K6" s="163">
        <v>7</v>
      </c>
      <c r="L6" s="163">
        <v>8</v>
      </c>
      <c r="M6" s="163">
        <v>9</v>
      </c>
      <c r="N6" s="164">
        <v>10</v>
      </c>
      <c r="O6" s="160" t="s">
        <v>154</v>
      </c>
      <c r="P6" s="162" t="s">
        <v>155</v>
      </c>
      <c r="Q6" s="165" t="s">
        <v>156</v>
      </c>
    </row>
    <row r="7" spans="1:20" ht="25.5">
      <c r="A7" s="215" t="s">
        <v>157</v>
      </c>
      <c r="B7" s="220">
        <v>1</v>
      </c>
      <c r="C7" s="157">
        <f>B7*50%</f>
        <v>0.5</v>
      </c>
      <c r="D7" s="158">
        <f>B7*60%</f>
        <v>0.6</v>
      </c>
      <c r="E7" s="221"/>
      <c r="F7" s="222"/>
      <c r="G7" s="222"/>
      <c r="H7" s="222">
        <v>2</v>
      </c>
      <c r="I7" s="222"/>
      <c r="J7" s="222"/>
      <c r="K7" s="222">
        <v>2</v>
      </c>
      <c r="L7" s="222"/>
      <c r="M7" s="222">
        <v>2</v>
      </c>
      <c r="N7" s="223"/>
      <c r="O7" s="157">
        <f>(C7+D7)/2*10</f>
        <v>5.5</v>
      </c>
      <c r="P7" s="221">
        <f>SUM(E7:N7)</f>
        <v>6</v>
      </c>
      <c r="Q7" s="222">
        <f>ROUND(P7/O7*100,0)</f>
        <v>109</v>
      </c>
    </row>
    <row r="8" spans="1:20">
      <c r="A8" s="215" t="s">
        <v>158</v>
      </c>
      <c r="B8" s="216">
        <v>1.2</v>
      </c>
      <c r="C8" s="154">
        <f t="shared" ref="C8:C34" si="0">B8*50%</f>
        <v>0.6</v>
      </c>
      <c r="D8" s="153">
        <f t="shared" ref="D8:D34" si="1">B8*60%</f>
        <v>0.72</v>
      </c>
      <c r="E8" s="217"/>
      <c r="F8" s="214"/>
      <c r="G8" s="214"/>
      <c r="H8" s="214"/>
      <c r="I8" s="214"/>
      <c r="J8" s="214"/>
      <c r="K8" s="214">
        <v>3</v>
      </c>
      <c r="L8" s="214">
        <v>3</v>
      </c>
      <c r="M8" s="214"/>
      <c r="N8" s="218"/>
      <c r="O8" s="154">
        <f t="shared" ref="O8:O34" si="2">(C8+D8)/2*10</f>
        <v>6.6</v>
      </c>
      <c r="P8" s="217">
        <f t="shared" ref="P8:P34" si="3">SUM(E8:N8)</f>
        <v>6</v>
      </c>
      <c r="Q8" s="214">
        <f t="shared" ref="Q8:Q34" si="4">ROUND(P8/O8*100,0)</f>
        <v>91</v>
      </c>
    </row>
    <row r="9" spans="1:20">
      <c r="A9" s="215" t="s">
        <v>159</v>
      </c>
      <c r="B9" s="216">
        <v>188</v>
      </c>
      <c r="C9" s="154">
        <f t="shared" si="0"/>
        <v>94</v>
      </c>
      <c r="D9" s="153">
        <f t="shared" si="1"/>
        <v>112.8</v>
      </c>
      <c r="E9" s="217">
        <v>70</v>
      </c>
      <c r="F9" s="214">
        <f>70+145</f>
        <v>215</v>
      </c>
      <c r="G9" s="214">
        <f>25+'3 день'!C43</f>
        <v>171</v>
      </c>
      <c r="H9" s="214">
        <f>66.75</f>
        <v>66.75</v>
      </c>
      <c r="I9" s="214">
        <f>40+145</f>
        <v>185</v>
      </c>
      <c r="J9" s="214">
        <v>76</v>
      </c>
      <c r="K9" s="214">
        <v>76</v>
      </c>
      <c r="L9" s="214">
        <f>66.75+86</f>
        <v>152.75</v>
      </c>
      <c r="M9" s="214">
        <v>28</v>
      </c>
      <c r="N9" s="218">
        <f>'10 день'!C18+'10 день'!C27+128</f>
        <v>207.25</v>
      </c>
      <c r="O9" s="154">
        <f>(C9+D9)/2*10</f>
        <v>1034</v>
      </c>
      <c r="P9" s="217">
        <f t="shared" si="3"/>
        <v>1247.75</v>
      </c>
      <c r="Q9" s="214">
        <f t="shared" si="4"/>
        <v>121</v>
      </c>
      <c r="T9">
        <f>P9/10/D9</f>
        <v>1.1061613475177305</v>
      </c>
    </row>
    <row r="10" spans="1:20" s="151" customFormat="1" ht="51">
      <c r="A10" s="224" t="s">
        <v>160</v>
      </c>
      <c r="B10" s="225">
        <v>150</v>
      </c>
      <c r="C10" s="226">
        <f t="shared" si="0"/>
        <v>75</v>
      </c>
      <c r="D10" s="227">
        <f t="shared" si="1"/>
        <v>90</v>
      </c>
      <c r="E10" s="228"/>
      <c r="F10" s="229"/>
      <c r="G10" s="229"/>
      <c r="H10" s="229"/>
      <c r="I10" s="229"/>
      <c r="J10" s="229">
        <v>250</v>
      </c>
      <c r="K10" s="229"/>
      <c r="L10" s="229"/>
      <c r="M10" s="229">
        <v>250</v>
      </c>
      <c r="N10" s="230"/>
      <c r="O10" s="226">
        <f t="shared" si="2"/>
        <v>825</v>
      </c>
      <c r="P10" s="228">
        <f t="shared" si="3"/>
        <v>500</v>
      </c>
      <c r="Q10" s="229">
        <f t="shared" si="4"/>
        <v>61</v>
      </c>
      <c r="T10">
        <f>P10/10/C10</f>
        <v>0.66666666666666663</v>
      </c>
    </row>
    <row r="11" spans="1:20" s="143" customFormat="1" ht="25.5">
      <c r="A11" s="215" t="s">
        <v>161</v>
      </c>
      <c r="B11" s="216">
        <v>14.7</v>
      </c>
      <c r="C11" s="154">
        <f t="shared" si="0"/>
        <v>7.35</v>
      </c>
      <c r="D11" s="153">
        <f t="shared" si="1"/>
        <v>8.8199999999999985</v>
      </c>
      <c r="E11" s="217"/>
      <c r="F11" s="214"/>
      <c r="G11" s="214">
        <v>40</v>
      </c>
      <c r="H11" s="214"/>
      <c r="I11" s="214"/>
      <c r="J11" s="214"/>
      <c r="K11" s="214"/>
      <c r="L11" s="214"/>
      <c r="M11" s="214"/>
      <c r="N11" s="218">
        <v>40</v>
      </c>
      <c r="O11" s="154">
        <f t="shared" si="2"/>
        <v>80.849999999999994</v>
      </c>
      <c r="P11" s="217">
        <f t="shared" si="3"/>
        <v>80</v>
      </c>
      <c r="Q11" s="214">
        <f t="shared" si="4"/>
        <v>99</v>
      </c>
    </row>
    <row r="12" spans="1:20" ht="25.5">
      <c r="A12" s="215" t="s">
        <v>162</v>
      </c>
      <c r="B12" s="216">
        <v>10</v>
      </c>
      <c r="C12" s="154">
        <f t="shared" si="0"/>
        <v>5</v>
      </c>
      <c r="D12" s="153">
        <f t="shared" si="1"/>
        <v>6</v>
      </c>
      <c r="E12" s="217"/>
      <c r="F12" s="214"/>
      <c r="G12" s="214">
        <f>20</f>
        <v>20</v>
      </c>
      <c r="H12" s="214"/>
      <c r="I12" s="214"/>
      <c r="J12" s="214"/>
      <c r="K12" s="214">
        <v>20</v>
      </c>
      <c r="L12" s="214">
        <v>20</v>
      </c>
      <c r="M12" s="214"/>
      <c r="N12" s="218"/>
      <c r="O12" s="154">
        <f t="shared" si="2"/>
        <v>55</v>
      </c>
      <c r="P12" s="217">
        <f t="shared" si="3"/>
        <v>60</v>
      </c>
      <c r="Q12" s="214">
        <f t="shared" si="4"/>
        <v>109</v>
      </c>
    </row>
    <row r="13" spans="1:20">
      <c r="A13" s="215" t="s">
        <v>163</v>
      </c>
      <c r="B13" s="216">
        <v>45</v>
      </c>
      <c r="C13" s="154">
        <f t="shared" si="0"/>
        <v>22.5</v>
      </c>
      <c r="D13" s="153">
        <f t="shared" si="1"/>
        <v>27</v>
      </c>
      <c r="E13" s="217">
        <f>20+10</f>
        <v>30</v>
      </c>
      <c r="F13" s="214">
        <f>7+8</f>
        <v>15</v>
      </c>
      <c r="G13" s="214"/>
      <c r="H13" s="214">
        <f>14+19+40</f>
        <v>73</v>
      </c>
      <c r="I13" s="214">
        <v>25</v>
      </c>
      <c r="J13" s="214">
        <f>5+35</f>
        <v>40</v>
      </c>
      <c r="K13" s="214">
        <f>16</f>
        <v>16</v>
      </c>
      <c r="L13" s="214">
        <f>7+16.2</f>
        <v>23.2</v>
      </c>
      <c r="M13" s="214">
        <f>20+34</f>
        <v>54</v>
      </c>
      <c r="N13" s="218">
        <f>10</f>
        <v>10</v>
      </c>
      <c r="O13" s="154">
        <f t="shared" si="2"/>
        <v>247.5</v>
      </c>
      <c r="P13" s="217">
        <f t="shared" si="3"/>
        <v>286.2</v>
      </c>
      <c r="Q13" s="214">
        <f t="shared" si="4"/>
        <v>116</v>
      </c>
      <c r="T13">
        <f>P13/10/D13</f>
        <v>1.0599999999999998</v>
      </c>
    </row>
    <row r="14" spans="1:20" ht="25.5">
      <c r="A14" s="215" t="s">
        <v>164</v>
      </c>
      <c r="B14" s="216">
        <v>15</v>
      </c>
      <c r="C14" s="154">
        <f t="shared" si="0"/>
        <v>7.5</v>
      </c>
      <c r="D14" s="153">
        <f t="shared" si="1"/>
        <v>9</v>
      </c>
      <c r="E14" s="217">
        <v>30</v>
      </c>
      <c r="F14" s="214"/>
      <c r="G14" s="214"/>
      <c r="H14" s="214"/>
      <c r="I14" s="214"/>
      <c r="J14" s="214">
        <v>30</v>
      </c>
      <c r="K14" s="214">
        <v>6</v>
      </c>
      <c r="L14" s="214"/>
      <c r="M14" s="214"/>
      <c r="N14" s="218">
        <v>30</v>
      </c>
      <c r="O14" s="154">
        <f t="shared" si="2"/>
        <v>82.5</v>
      </c>
      <c r="P14" s="217">
        <f t="shared" si="3"/>
        <v>96</v>
      </c>
      <c r="Q14" s="214">
        <f t="shared" si="4"/>
        <v>116</v>
      </c>
      <c r="T14">
        <f>P14/10/D14</f>
        <v>1.0666666666666667</v>
      </c>
    </row>
    <row r="15" spans="1:20" ht="25.5">
      <c r="A15" s="215" t="s">
        <v>165</v>
      </c>
      <c r="B15" s="216">
        <v>15</v>
      </c>
      <c r="C15" s="154">
        <f t="shared" si="0"/>
        <v>7.5</v>
      </c>
      <c r="D15" s="153">
        <f t="shared" si="1"/>
        <v>9</v>
      </c>
      <c r="E15" s="217">
        <f>2.5+2.5</f>
        <v>5</v>
      </c>
      <c r="F15" s="214">
        <f>6+1.6</f>
        <v>7.6</v>
      </c>
      <c r="G15" s="214">
        <f>2.5+2.5+2</f>
        <v>7</v>
      </c>
      <c r="H15" s="214">
        <f>1.5+1+2.5+5+2.5</f>
        <v>12.5</v>
      </c>
      <c r="I15" s="214">
        <f>4+5</f>
        <v>9</v>
      </c>
      <c r="J15" s="214">
        <f>2.5+2.5+2.5</f>
        <v>7.5</v>
      </c>
      <c r="K15" s="214">
        <f>1.5+1+3+2.5+2</f>
        <v>10</v>
      </c>
      <c r="L15" s="214">
        <f>6+5</f>
        <v>11</v>
      </c>
      <c r="M15" s="214">
        <f>1+1+2.5+5</f>
        <v>9.5</v>
      </c>
      <c r="N15" s="218">
        <f>2.5+2.5+1.5</f>
        <v>6.5</v>
      </c>
      <c r="O15" s="154">
        <f t="shared" si="2"/>
        <v>82.5</v>
      </c>
      <c r="P15" s="217">
        <f t="shared" si="3"/>
        <v>85.6</v>
      </c>
      <c r="Q15" s="214">
        <f t="shared" si="4"/>
        <v>104</v>
      </c>
    </row>
    <row r="16" spans="1:20">
      <c r="A16" s="215" t="s">
        <v>80</v>
      </c>
      <c r="B16" s="216">
        <v>30</v>
      </c>
      <c r="C16" s="154">
        <f t="shared" si="0"/>
        <v>15</v>
      </c>
      <c r="D16" s="153">
        <f t="shared" si="1"/>
        <v>18</v>
      </c>
      <c r="E16" s="217">
        <f>10+10+7.5</f>
        <v>27.5</v>
      </c>
      <c r="F16" s="214">
        <f>5+5.25</f>
        <v>10.25</v>
      </c>
      <c r="G16" s="214">
        <f>4.5+5.25+7</f>
        <v>16.75</v>
      </c>
      <c r="H16" s="214">
        <f>10+2.5+6.75</f>
        <v>19.25</v>
      </c>
      <c r="I16" s="214">
        <f>9+10+5+5.25</f>
        <v>29.25</v>
      </c>
      <c r="J16" s="214">
        <f>5+10</f>
        <v>15</v>
      </c>
      <c r="K16" s="214">
        <f>3+2.5+5</f>
        <v>10.5</v>
      </c>
      <c r="L16" s="214">
        <v>5</v>
      </c>
      <c r="M16" s="214">
        <f>10+2.5</f>
        <v>12.5</v>
      </c>
      <c r="N16" s="218">
        <f>4.5+5.25</f>
        <v>9.75</v>
      </c>
      <c r="O16" s="154">
        <f t="shared" si="2"/>
        <v>165</v>
      </c>
      <c r="P16" s="217">
        <f t="shared" si="3"/>
        <v>155.75</v>
      </c>
      <c r="Q16" s="214">
        <f t="shared" si="4"/>
        <v>94</v>
      </c>
    </row>
    <row r="17" spans="1:20" ht="38.25">
      <c r="A17" s="215" t="s">
        <v>166</v>
      </c>
      <c r="B17" s="216">
        <v>300</v>
      </c>
      <c r="C17" s="154">
        <f t="shared" si="0"/>
        <v>150</v>
      </c>
      <c r="D17" s="153">
        <f t="shared" si="1"/>
        <v>180</v>
      </c>
      <c r="E17" s="217">
        <v>180</v>
      </c>
      <c r="F17" s="214">
        <f>35</f>
        <v>35</v>
      </c>
      <c r="G17" s="214"/>
      <c r="H17" s="214">
        <f>180+11+200</f>
        <v>391</v>
      </c>
      <c r="I17" s="214">
        <f>180+23.7</f>
        <v>203.7</v>
      </c>
      <c r="J17" s="214"/>
      <c r="K17" s="214">
        <f>60+11+180</f>
        <v>251</v>
      </c>
      <c r="L17" s="214">
        <f>35+180</f>
        <v>215</v>
      </c>
      <c r="M17" s="214">
        <f>180+11</f>
        <v>191</v>
      </c>
      <c r="N17" s="218"/>
      <c r="O17" s="154">
        <f t="shared" si="2"/>
        <v>1650</v>
      </c>
      <c r="P17" s="217">
        <f>SUM(E17:N17)</f>
        <v>1466.7</v>
      </c>
      <c r="Q17" s="214">
        <f t="shared" si="4"/>
        <v>89</v>
      </c>
      <c r="T17">
        <f>P17/10/C17</f>
        <v>0.97780000000000011</v>
      </c>
    </row>
    <row r="18" spans="1:20">
      <c r="A18" s="215" t="s">
        <v>167</v>
      </c>
      <c r="B18" s="216">
        <v>15</v>
      </c>
      <c r="C18" s="154">
        <f t="shared" si="0"/>
        <v>7.5</v>
      </c>
      <c r="D18" s="153">
        <f t="shared" si="1"/>
        <v>9</v>
      </c>
      <c r="E18" s="217"/>
      <c r="F18" s="214">
        <f>4</f>
        <v>4</v>
      </c>
      <c r="G18" s="214">
        <f>1.8</f>
        <v>1.8</v>
      </c>
      <c r="H18" s="214">
        <f>22</f>
        <v>22</v>
      </c>
      <c r="I18" s="214">
        <f>3+4</f>
        <v>7</v>
      </c>
      <c r="J18" s="214">
        <v>3.2</v>
      </c>
      <c r="K18" s="214">
        <f>22</f>
        <v>22</v>
      </c>
      <c r="L18" s="214">
        <v>2.67</v>
      </c>
      <c r="M18" s="214">
        <f>22</f>
        <v>22</v>
      </c>
      <c r="N18" s="218"/>
      <c r="O18" s="154">
        <f t="shared" si="2"/>
        <v>82.5</v>
      </c>
      <c r="P18" s="217">
        <f t="shared" si="3"/>
        <v>84.67</v>
      </c>
      <c r="Q18" s="214">
        <f t="shared" si="4"/>
        <v>103</v>
      </c>
    </row>
    <row r="19" spans="1:20" ht="38.25">
      <c r="A19" s="215" t="s">
        <v>168</v>
      </c>
      <c r="B19" s="216">
        <v>70</v>
      </c>
      <c r="C19" s="154">
        <f t="shared" si="0"/>
        <v>35</v>
      </c>
      <c r="D19" s="153">
        <f t="shared" si="1"/>
        <v>42</v>
      </c>
      <c r="E19" s="217"/>
      <c r="F19" s="214"/>
      <c r="G19" s="214">
        <v>83</v>
      </c>
      <c r="H19" s="214"/>
      <c r="I19" s="214">
        <f>86</f>
        <v>86</v>
      </c>
      <c r="J19" s="214">
        <f>85.6</f>
        <v>85.6</v>
      </c>
      <c r="K19" s="214">
        <v>69.2</v>
      </c>
      <c r="L19" s="214">
        <v>52.67</v>
      </c>
      <c r="M19" s="214"/>
      <c r="N19" s="218">
        <v>36.299999999999997</v>
      </c>
      <c r="O19" s="154">
        <f t="shared" si="2"/>
        <v>385</v>
      </c>
      <c r="P19" s="217">
        <f t="shared" si="3"/>
        <v>412.77000000000004</v>
      </c>
      <c r="Q19" s="214">
        <f t="shared" si="4"/>
        <v>107</v>
      </c>
    </row>
    <row r="20" spans="1:20" ht="25.5">
      <c r="A20" s="215" t="s">
        <v>169</v>
      </c>
      <c r="B20" s="219">
        <v>280</v>
      </c>
      <c r="C20" s="154">
        <f t="shared" si="0"/>
        <v>140</v>
      </c>
      <c r="D20" s="153">
        <f t="shared" si="1"/>
        <v>168</v>
      </c>
      <c r="E20" s="217">
        <f>73.8+23+10+18.4+8</f>
        <v>133.19999999999999</v>
      </c>
      <c r="F20" s="214">
        <f>16+10</f>
        <v>26</v>
      </c>
      <c r="G20" s="214">
        <f>186+3.75+7.2+118.8+50+25+12.5+12+12</f>
        <v>427.25</v>
      </c>
      <c r="H20" s="214">
        <f>84.7+28.8+25+12.5+23+8+8.25+18.4+8</f>
        <v>216.65</v>
      </c>
      <c r="I20" s="214">
        <f>0.51+62.5+12.5+12+9.52</f>
        <v>97.029999999999987</v>
      </c>
      <c r="J20" s="214">
        <f>98.6+12.5+10+6+23.2</f>
        <v>150.29999999999998</v>
      </c>
      <c r="K20" s="214">
        <f>55.56+12.5+12+127</f>
        <v>207.06</v>
      </c>
      <c r="L20" s="214">
        <f>90+5+12+12.5</f>
        <v>119.5</v>
      </c>
      <c r="M20" s="214">
        <f>86+16+28+40+12+8+6+10</f>
        <v>206</v>
      </c>
      <c r="N20" s="218">
        <f>'10 день'!C19+'10 день'!C20+'10 день'!C22+37.5+12.5+12+15+15-18</f>
        <v>129</v>
      </c>
      <c r="O20" s="154">
        <f t="shared" si="2"/>
        <v>1540</v>
      </c>
      <c r="P20" s="217">
        <f t="shared" si="3"/>
        <v>1711.99</v>
      </c>
      <c r="Q20" s="214">
        <f t="shared" si="4"/>
        <v>111</v>
      </c>
      <c r="T20">
        <f>P20/10/D20</f>
        <v>1.0190416666666668</v>
      </c>
    </row>
    <row r="21" spans="1:20">
      <c r="A21" s="215" t="s">
        <v>170</v>
      </c>
      <c r="B21" s="216">
        <v>58</v>
      </c>
      <c r="C21" s="154">
        <f t="shared" si="0"/>
        <v>29</v>
      </c>
      <c r="D21" s="153">
        <f t="shared" si="1"/>
        <v>34.799999999999997</v>
      </c>
      <c r="E21" s="217">
        <v>145</v>
      </c>
      <c r="F21" s="214">
        <f>32</f>
        <v>32</v>
      </c>
      <c r="G21" s="214"/>
      <c r="H21" s="214">
        <v>145</v>
      </c>
      <c r="I21" s="214"/>
      <c r="J21" s="214"/>
      <c r="K21" s="214"/>
      <c r="L21" s="214"/>
      <c r="M21" s="214"/>
      <c r="N21" s="218"/>
      <c r="O21" s="154">
        <f t="shared" si="2"/>
        <v>319</v>
      </c>
      <c r="P21" s="217">
        <f t="shared" si="3"/>
        <v>322</v>
      </c>
      <c r="Q21" s="214">
        <f t="shared" si="4"/>
        <v>101</v>
      </c>
    </row>
    <row r="22" spans="1:20">
      <c r="A22" s="156" t="s">
        <v>171</v>
      </c>
      <c r="B22" s="216">
        <v>40</v>
      </c>
      <c r="C22" s="154">
        <f t="shared" si="0"/>
        <v>20</v>
      </c>
      <c r="D22" s="153">
        <f t="shared" si="1"/>
        <v>24</v>
      </c>
      <c r="E22" s="217">
        <f>5+13+1.6+13</f>
        <v>32.6</v>
      </c>
      <c r="F22" s="214">
        <f>4+16</f>
        <v>20</v>
      </c>
      <c r="G22" s="214">
        <f>13+20</f>
        <v>33</v>
      </c>
      <c r="H22" s="214">
        <f>6+2.5+1.6+13</f>
        <v>23.1</v>
      </c>
      <c r="I22" s="214">
        <f>6.5+13+16</f>
        <v>35.5</v>
      </c>
      <c r="J22" s="214">
        <v>1.5</v>
      </c>
      <c r="K22" s="214">
        <f>2.5+1.5+12+1.2+20</f>
        <v>37.200000000000003</v>
      </c>
      <c r="L22" s="214">
        <f>4+20</f>
        <v>24</v>
      </c>
      <c r="M22" s="214">
        <f>6+2.5+1.5+0.8+16</f>
        <v>26.8</v>
      </c>
      <c r="N22" s="218"/>
      <c r="O22" s="154">
        <f t="shared" si="2"/>
        <v>220</v>
      </c>
      <c r="P22" s="217">
        <f t="shared" si="3"/>
        <v>233.7</v>
      </c>
      <c r="Q22" s="214">
        <f t="shared" si="4"/>
        <v>106</v>
      </c>
    </row>
    <row r="23" spans="1:20" ht="51">
      <c r="A23" s="215" t="s">
        <v>172</v>
      </c>
      <c r="B23" s="216">
        <v>10</v>
      </c>
      <c r="C23" s="154">
        <f t="shared" si="0"/>
        <v>5</v>
      </c>
      <c r="D23" s="153">
        <f t="shared" si="1"/>
        <v>6</v>
      </c>
      <c r="E23" s="217"/>
      <c r="F23" s="214">
        <f>4+10</f>
        <v>14</v>
      </c>
      <c r="G23" s="214"/>
      <c r="H23" s="214"/>
      <c r="I23" s="214">
        <v>10</v>
      </c>
      <c r="J23" s="214">
        <v>18.399999999999999</v>
      </c>
      <c r="K23" s="214"/>
      <c r="L23" s="214">
        <v>4</v>
      </c>
      <c r="M23" s="214">
        <v>8</v>
      </c>
      <c r="N23" s="218"/>
      <c r="O23" s="154">
        <f t="shared" si="2"/>
        <v>55</v>
      </c>
      <c r="P23" s="217">
        <f t="shared" si="3"/>
        <v>54.4</v>
      </c>
      <c r="Q23" s="214">
        <f t="shared" si="4"/>
        <v>99</v>
      </c>
    </row>
    <row r="24" spans="1:20" s="143" customFormat="1" ht="76.5">
      <c r="A24" s="215" t="s">
        <v>173</v>
      </c>
      <c r="B24" s="216">
        <v>200</v>
      </c>
      <c r="C24" s="154">
        <f t="shared" si="0"/>
        <v>100</v>
      </c>
      <c r="D24" s="153">
        <f t="shared" si="1"/>
        <v>120</v>
      </c>
      <c r="E24" s="217"/>
      <c r="F24" s="214">
        <v>200</v>
      </c>
      <c r="G24" s="214"/>
      <c r="H24" s="214"/>
      <c r="I24" s="214"/>
      <c r="J24" s="214">
        <v>200</v>
      </c>
      <c r="K24" s="214"/>
      <c r="L24" s="214">
        <v>200</v>
      </c>
      <c r="M24" s="214"/>
      <c r="N24" s="218">
        <v>500</v>
      </c>
      <c r="O24" s="154">
        <f t="shared" si="2"/>
        <v>1100</v>
      </c>
      <c r="P24" s="217">
        <f t="shared" si="3"/>
        <v>1100</v>
      </c>
      <c r="Q24" s="214">
        <f t="shared" si="4"/>
        <v>100</v>
      </c>
    </row>
    <row r="25" spans="1:20">
      <c r="A25" s="215" t="s">
        <v>174</v>
      </c>
      <c r="B25" s="216">
        <v>5</v>
      </c>
      <c r="C25" s="154">
        <f t="shared" si="0"/>
        <v>2.5</v>
      </c>
      <c r="D25" s="153">
        <f t="shared" si="1"/>
        <v>3</v>
      </c>
      <c r="E25" s="217">
        <f>3+1+1</f>
        <v>5</v>
      </c>
      <c r="F25" s="214">
        <f>0.4+0.4+0.25+0.35</f>
        <v>1.4</v>
      </c>
      <c r="G25" s="214"/>
      <c r="H25" s="214">
        <f>3+0.25+0.25+0.45+0.25+0.25</f>
        <v>4.45</v>
      </c>
      <c r="I25" s="214"/>
      <c r="J25" s="214">
        <f>0.75+0.25+0.25+0.96+0.375</f>
        <v>2.585</v>
      </c>
      <c r="K25" s="214">
        <f>0.25+0.25+0.4+2.4</f>
        <v>3.3</v>
      </c>
      <c r="L25" s="214">
        <f>0.4+3.5+2</f>
        <v>5.9</v>
      </c>
      <c r="M25" s="214"/>
      <c r="N25" s="218">
        <v>5</v>
      </c>
      <c r="O25" s="154">
        <f t="shared" si="2"/>
        <v>27.5</v>
      </c>
      <c r="P25" s="217">
        <f t="shared" si="3"/>
        <v>27.635000000000005</v>
      </c>
      <c r="Q25" s="214">
        <f t="shared" si="4"/>
        <v>100</v>
      </c>
    </row>
    <row r="26" spans="1:20" s="143" customFormat="1">
      <c r="A26" s="215" t="s">
        <v>73</v>
      </c>
      <c r="B26" s="216">
        <v>9.8000000000000007</v>
      </c>
      <c r="C26" s="154">
        <f t="shared" si="0"/>
        <v>4.9000000000000004</v>
      </c>
      <c r="D26" s="153">
        <f t="shared" si="1"/>
        <v>5.88</v>
      </c>
      <c r="E26" s="217">
        <f>20</f>
        <v>20</v>
      </c>
      <c r="F26" s="214"/>
      <c r="G26" s="214"/>
      <c r="H26" s="214"/>
      <c r="I26" s="214">
        <v>20</v>
      </c>
      <c r="J26" s="214">
        <v>15</v>
      </c>
      <c r="K26" s="214"/>
      <c r="L26" s="214"/>
      <c r="M26" s="214"/>
      <c r="N26" s="218"/>
      <c r="O26" s="154">
        <f t="shared" si="2"/>
        <v>53.900000000000006</v>
      </c>
      <c r="P26" s="217">
        <f t="shared" si="3"/>
        <v>55</v>
      </c>
      <c r="Q26" s="214">
        <f t="shared" si="4"/>
        <v>102</v>
      </c>
    </row>
    <row r="27" spans="1:20" ht="38.25">
      <c r="A27" s="224" t="s">
        <v>175</v>
      </c>
      <c r="B27" s="225">
        <v>50</v>
      </c>
      <c r="C27" s="226">
        <f t="shared" si="0"/>
        <v>25</v>
      </c>
      <c r="D27" s="227">
        <f t="shared" si="1"/>
        <v>30</v>
      </c>
      <c r="E27" s="228"/>
      <c r="F27" s="229">
        <v>85</v>
      </c>
      <c r="G27" s="229"/>
      <c r="H27" s="229">
        <f>11.5</f>
        <v>11.5</v>
      </c>
      <c r="I27" s="229"/>
      <c r="J27" s="229"/>
      <c r="K27" s="229">
        <f>11.5</f>
        <v>11.5</v>
      </c>
      <c r="L27" s="229">
        <v>85</v>
      </c>
      <c r="M27" s="229">
        <v>11.5</v>
      </c>
      <c r="N27" s="230"/>
      <c r="O27" s="226">
        <f t="shared" si="2"/>
        <v>275</v>
      </c>
      <c r="P27" s="228">
        <f t="shared" si="3"/>
        <v>204.5</v>
      </c>
      <c r="Q27" s="229">
        <f t="shared" si="4"/>
        <v>74</v>
      </c>
    </row>
    <row r="28" spans="1:20" ht="25.5">
      <c r="A28" s="215" t="s">
        <v>176</v>
      </c>
      <c r="B28" s="219">
        <v>185</v>
      </c>
      <c r="C28" s="154">
        <f t="shared" si="0"/>
        <v>92.5</v>
      </c>
      <c r="D28" s="153">
        <f t="shared" si="1"/>
        <v>111</v>
      </c>
      <c r="E28" s="217">
        <f>75+35.7+8+75</f>
        <v>193.7</v>
      </c>
      <c r="F28" s="214">
        <f>75+75</f>
        <v>150</v>
      </c>
      <c r="G28" s="214">
        <f>8+75+75</f>
        <v>158</v>
      </c>
      <c r="H28" s="214">
        <v>75</v>
      </c>
      <c r="I28" s="214">
        <f>8+75</f>
        <v>83</v>
      </c>
      <c r="J28" s="214">
        <f>150</f>
        <v>150</v>
      </c>
      <c r="K28" s="214">
        <f>8.58+3.36+44.4+44.4</f>
        <v>100.74</v>
      </c>
      <c r="L28" s="214"/>
      <c r="M28" s="214"/>
      <c r="N28" s="218">
        <v>75</v>
      </c>
      <c r="O28" s="154">
        <f t="shared" si="2"/>
        <v>1017.5</v>
      </c>
      <c r="P28" s="217">
        <f t="shared" si="3"/>
        <v>985.44</v>
      </c>
      <c r="Q28" s="214">
        <f t="shared" si="4"/>
        <v>97</v>
      </c>
    </row>
    <row r="29" spans="1:20" ht="38.25">
      <c r="A29" s="215" t="s">
        <v>177</v>
      </c>
      <c r="B29" s="216">
        <v>15</v>
      </c>
      <c r="C29" s="154">
        <f t="shared" si="0"/>
        <v>7.5</v>
      </c>
      <c r="D29" s="153">
        <f t="shared" si="1"/>
        <v>9</v>
      </c>
      <c r="E29" s="217"/>
      <c r="F29" s="214">
        <f>3+20</f>
        <v>23</v>
      </c>
      <c r="G29" s="214">
        <v>20</v>
      </c>
      <c r="H29" s="214"/>
      <c r="I29" s="214">
        <v>20</v>
      </c>
      <c r="J29" s="214"/>
      <c r="K29" s="214"/>
      <c r="L29" s="214">
        <v>3</v>
      </c>
      <c r="M29" s="214">
        <f>20</f>
        <v>20</v>
      </c>
      <c r="N29" s="218"/>
      <c r="O29" s="154">
        <f t="shared" si="2"/>
        <v>82.5</v>
      </c>
      <c r="P29" s="217">
        <f t="shared" si="3"/>
        <v>86</v>
      </c>
      <c r="Q29" s="214">
        <f t="shared" si="4"/>
        <v>104</v>
      </c>
    </row>
    <row r="30" spans="1:20" s="143" customFormat="1">
      <c r="A30" s="215" t="s">
        <v>37</v>
      </c>
      <c r="B30" s="216">
        <v>150</v>
      </c>
      <c r="C30" s="154">
        <f t="shared" si="0"/>
        <v>75</v>
      </c>
      <c r="D30" s="153">
        <f t="shared" si="1"/>
        <v>90</v>
      </c>
      <c r="E30" s="217">
        <f>40+40</f>
        <v>80</v>
      </c>
      <c r="F30" s="217">
        <f>40+40</f>
        <v>80</v>
      </c>
      <c r="G30" s="217">
        <f>40+2.8+40</f>
        <v>82.8</v>
      </c>
      <c r="H30" s="217">
        <f t="shared" ref="H30:N30" si="5">40+40</f>
        <v>80</v>
      </c>
      <c r="I30" s="217">
        <f t="shared" si="5"/>
        <v>80</v>
      </c>
      <c r="J30" s="217">
        <f t="shared" si="5"/>
        <v>80</v>
      </c>
      <c r="K30" s="217">
        <f t="shared" si="5"/>
        <v>80</v>
      </c>
      <c r="L30" s="217">
        <f t="shared" si="5"/>
        <v>80</v>
      </c>
      <c r="M30" s="217">
        <f t="shared" si="5"/>
        <v>80</v>
      </c>
      <c r="N30" s="217">
        <f t="shared" si="5"/>
        <v>80</v>
      </c>
      <c r="O30" s="154">
        <f t="shared" si="2"/>
        <v>825</v>
      </c>
      <c r="P30" s="217">
        <f t="shared" si="3"/>
        <v>802.8</v>
      </c>
      <c r="Q30" s="214">
        <f t="shared" si="4"/>
        <v>97</v>
      </c>
    </row>
    <row r="31" spans="1:20" ht="38.25">
      <c r="A31" s="155" t="s">
        <v>178</v>
      </c>
      <c r="B31" s="148">
        <v>80</v>
      </c>
      <c r="C31" s="154">
        <f t="shared" si="0"/>
        <v>40</v>
      </c>
      <c r="D31" s="153">
        <f t="shared" si="1"/>
        <v>48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4">
        <f t="shared" si="2"/>
        <v>440</v>
      </c>
      <c r="P31" s="152">
        <f t="shared" si="3"/>
        <v>0</v>
      </c>
      <c r="Q31" s="150">
        <f t="shared" si="4"/>
        <v>0</v>
      </c>
    </row>
    <row r="32" spans="1:20" ht="51">
      <c r="A32" s="215" t="s">
        <v>179</v>
      </c>
      <c r="B32" s="216">
        <v>35</v>
      </c>
      <c r="C32" s="154">
        <f t="shared" si="0"/>
        <v>17.5</v>
      </c>
      <c r="D32" s="153">
        <f t="shared" si="1"/>
        <v>21</v>
      </c>
      <c r="E32" s="217"/>
      <c r="F32" s="214">
        <f>87.2</f>
        <v>87.2</v>
      </c>
      <c r="G32" s="214"/>
      <c r="H32" s="214"/>
      <c r="I32" s="214"/>
      <c r="J32" s="214"/>
      <c r="K32" s="214"/>
      <c r="L32" s="214"/>
      <c r="M32" s="214">
        <f>27.12+116.41-38.23</f>
        <v>105.30000000000001</v>
      </c>
      <c r="N32" s="218"/>
      <c r="O32" s="154">
        <f t="shared" si="2"/>
        <v>192.5</v>
      </c>
      <c r="P32" s="217">
        <f t="shared" si="3"/>
        <v>192.5</v>
      </c>
      <c r="Q32" s="214">
        <f t="shared" si="4"/>
        <v>100</v>
      </c>
      <c r="T32">
        <f>116.41-38.23</f>
        <v>78.180000000000007</v>
      </c>
    </row>
    <row r="33" spans="1:21">
      <c r="A33" s="215" t="s">
        <v>180</v>
      </c>
      <c r="B33" s="216">
        <v>0.4</v>
      </c>
      <c r="C33" s="154">
        <f t="shared" si="0"/>
        <v>0.2</v>
      </c>
      <c r="D33" s="153">
        <f t="shared" si="1"/>
        <v>0.24</v>
      </c>
      <c r="E33" s="217">
        <v>0.88</v>
      </c>
      <c r="F33" s="214"/>
      <c r="G33" s="214">
        <v>0.44</v>
      </c>
      <c r="H33" s="214">
        <v>0.44</v>
      </c>
      <c r="I33" s="214">
        <v>0.44</v>
      </c>
      <c r="J33" s="214"/>
      <c r="K33" s="214"/>
      <c r="L33" s="214"/>
      <c r="M33" s="214"/>
      <c r="N33" s="218"/>
      <c r="O33" s="154">
        <f t="shared" si="2"/>
        <v>2.2000000000000002</v>
      </c>
      <c r="P33" s="217">
        <f t="shared" si="3"/>
        <v>2.2000000000000002</v>
      </c>
      <c r="Q33" s="214">
        <f t="shared" si="4"/>
        <v>100</v>
      </c>
    </row>
    <row r="34" spans="1:21">
      <c r="A34" s="215" t="s">
        <v>181</v>
      </c>
      <c r="B34" s="216">
        <v>40</v>
      </c>
      <c r="C34" s="154">
        <f t="shared" si="0"/>
        <v>20</v>
      </c>
      <c r="D34" s="153">
        <f t="shared" si="1"/>
        <v>24</v>
      </c>
      <c r="E34" s="217"/>
      <c r="F34" s="214">
        <v>10</v>
      </c>
      <c r="G34" s="214">
        <v>40</v>
      </c>
      <c r="H34" s="214">
        <v>10</v>
      </c>
      <c r="I34" s="214"/>
      <c r="J34" s="214"/>
      <c r="K34" s="214">
        <f>80+5+5</f>
        <v>90</v>
      </c>
      <c r="L34" s="214">
        <v>10</v>
      </c>
      <c r="M34" s="214">
        <v>10</v>
      </c>
      <c r="N34" s="218">
        <v>40</v>
      </c>
      <c r="O34" s="154">
        <f t="shared" si="2"/>
        <v>220</v>
      </c>
      <c r="P34" s="217">
        <f t="shared" si="3"/>
        <v>210</v>
      </c>
      <c r="Q34" s="214">
        <f t="shared" si="4"/>
        <v>95</v>
      </c>
    </row>
    <row r="35" spans="1:2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</row>
    <row r="36" spans="1:21">
      <c r="U36">
        <f>2.2/5</f>
        <v>0.44000000000000006</v>
      </c>
    </row>
  </sheetData>
  <mergeCells count="6">
    <mergeCell ref="B4:Q4"/>
    <mergeCell ref="B5:Q5"/>
    <mergeCell ref="A1:P1"/>
    <mergeCell ref="A2:P2"/>
    <mergeCell ref="A3:P3"/>
    <mergeCell ref="A4:A6"/>
  </mergeCells>
  <hyperlinks>
    <hyperlink ref="B20" location="Par1298" tooltip="Ссылка на текущий документ" display="Par1298"/>
    <hyperlink ref="B28" location="Par1298" tooltip="Ссылка на текущий документ" display="Par1298"/>
    <hyperlink ref="A22" location="Par1299" tooltip="Ссылка на текущий документ" display="Par1299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6"/>
  <sheetViews>
    <sheetView view="pageBreakPreview" zoomScale="60" zoomScaleNormal="80" workbookViewId="0">
      <selection activeCell="N32" sqref="N32"/>
    </sheetView>
  </sheetViews>
  <sheetFormatPr defaultRowHeight="15"/>
  <cols>
    <col min="4" max="4" width="11.7109375" customWidth="1"/>
    <col min="6" max="6" width="11" customWidth="1"/>
    <col min="8" max="8" width="12.7109375" customWidth="1"/>
    <col min="9" max="9" width="10.7109375" customWidth="1"/>
  </cols>
  <sheetData>
    <row r="1" spans="2:17">
      <c r="B1" s="271" t="s">
        <v>130</v>
      </c>
      <c r="C1" s="142"/>
      <c r="D1" s="142" t="s">
        <v>122</v>
      </c>
      <c r="E1" s="142"/>
      <c r="F1" s="142" t="s">
        <v>124</v>
      </c>
      <c r="G1" s="142"/>
      <c r="H1" s="142" t="s">
        <v>126</v>
      </c>
      <c r="I1" s="142" t="s">
        <v>128</v>
      </c>
      <c r="J1" s="142"/>
      <c r="K1" s="142"/>
      <c r="L1" s="142"/>
      <c r="M1" s="142"/>
      <c r="N1" s="142"/>
      <c r="O1" s="142"/>
      <c r="P1" s="142"/>
      <c r="Q1" s="142"/>
    </row>
    <row r="2" spans="2:17">
      <c r="B2" s="271"/>
      <c r="C2" s="142"/>
      <c r="D2" s="142" t="s">
        <v>123</v>
      </c>
      <c r="E2" s="142"/>
      <c r="F2" s="142" t="s">
        <v>125</v>
      </c>
      <c r="G2" s="142"/>
      <c r="H2" s="142" t="s">
        <v>127</v>
      </c>
      <c r="I2" s="142" t="s">
        <v>129</v>
      </c>
      <c r="J2" s="142"/>
      <c r="K2" s="142"/>
      <c r="L2" s="142"/>
      <c r="M2" s="142"/>
      <c r="N2" s="142"/>
      <c r="O2" s="142"/>
      <c r="P2" s="142"/>
      <c r="Q2" s="142"/>
    </row>
    <row r="3" spans="2:17" ht="15.75">
      <c r="B3" s="244" t="s">
        <v>2</v>
      </c>
      <c r="C3" s="235" t="s">
        <v>3</v>
      </c>
      <c r="D3" s="234" t="s">
        <v>4</v>
      </c>
      <c r="E3" s="239" t="s">
        <v>5</v>
      </c>
      <c r="F3" s="241" t="s">
        <v>6</v>
      </c>
      <c r="G3" s="239" t="s">
        <v>7</v>
      </c>
      <c r="H3" s="234" t="s">
        <v>8</v>
      </c>
      <c r="I3" s="234" t="s">
        <v>9</v>
      </c>
      <c r="J3" s="237" t="s">
        <v>10</v>
      </c>
      <c r="K3" s="237"/>
      <c r="L3" s="237"/>
      <c r="M3" s="237"/>
      <c r="N3" s="237" t="s">
        <v>11</v>
      </c>
      <c r="O3" s="237"/>
      <c r="P3" s="237"/>
      <c r="Q3" s="237"/>
    </row>
    <row r="4" spans="2:17" ht="15.75">
      <c r="B4" s="245"/>
      <c r="C4" s="236"/>
      <c r="D4" s="234"/>
      <c r="E4" s="240"/>
      <c r="F4" s="241"/>
      <c r="G4" s="240"/>
      <c r="H4" s="234"/>
      <c r="I4" s="234"/>
      <c r="J4" s="111" t="s">
        <v>12</v>
      </c>
      <c r="K4" s="111" t="s">
        <v>13</v>
      </c>
      <c r="L4" s="111" t="s">
        <v>14</v>
      </c>
      <c r="M4" s="111" t="s">
        <v>15</v>
      </c>
      <c r="N4" s="111" t="s">
        <v>16</v>
      </c>
      <c r="O4" s="111" t="s">
        <v>17</v>
      </c>
      <c r="P4" s="111" t="s">
        <v>18</v>
      </c>
      <c r="Q4" s="111" t="s">
        <v>19</v>
      </c>
    </row>
    <row r="5" spans="2:17" ht="15.75">
      <c r="B5" s="235" t="s">
        <v>111</v>
      </c>
      <c r="C5" s="144">
        <f>'1 день'!D36</f>
        <v>440.8</v>
      </c>
      <c r="D5" s="144">
        <f>'1 день'!E36</f>
        <v>14.73</v>
      </c>
      <c r="E5" s="144">
        <f>'1 день'!F36</f>
        <v>7.1399999999999988</v>
      </c>
      <c r="F5" s="144">
        <f>'1 день'!G36</f>
        <v>20.599999999999998</v>
      </c>
      <c r="G5" s="144">
        <f>'1 день'!H36</f>
        <v>2.48</v>
      </c>
      <c r="H5" s="144">
        <f>'1 день'!I36</f>
        <v>65.47</v>
      </c>
      <c r="I5" s="144">
        <f>'1 день'!J36</f>
        <v>506.2</v>
      </c>
      <c r="J5" s="144">
        <f>'1 день'!K36</f>
        <v>0.23</v>
      </c>
      <c r="K5" s="144">
        <f>'1 день'!L36</f>
        <v>7.91</v>
      </c>
      <c r="L5" s="144">
        <f>'1 день'!M36</f>
        <v>92</v>
      </c>
      <c r="M5" s="144">
        <f>'1 день'!N36</f>
        <v>2.67</v>
      </c>
      <c r="N5" s="144">
        <f>'1 день'!O36</f>
        <v>237.2</v>
      </c>
      <c r="O5" s="144">
        <f>'1 день'!P36</f>
        <v>312.18</v>
      </c>
      <c r="P5" s="144">
        <f>'1 день'!Q36</f>
        <v>136.68</v>
      </c>
      <c r="Q5" s="144">
        <f>'1 день'!R36</f>
        <v>7.620000000000001</v>
      </c>
    </row>
    <row r="6" spans="2:17" ht="15.75">
      <c r="B6" s="236"/>
      <c r="C6" s="144">
        <f>'1 день'!D70</f>
        <v>694.8599999999999</v>
      </c>
      <c r="D6" s="144">
        <f>'1 день'!E70</f>
        <v>26.7</v>
      </c>
      <c r="E6" s="144">
        <f>'1 день'!F70</f>
        <v>9.1300000000000008</v>
      </c>
      <c r="F6" s="144">
        <f>'1 день'!G70</f>
        <v>27.33</v>
      </c>
      <c r="G6" s="144">
        <f>'1 день'!H70</f>
        <v>11.150000000000002</v>
      </c>
      <c r="H6" s="144">
        <f>'1 день'!I70</f>
        <v>97.27000000000001</v>
      </c>
      <c r="I6" s="144">
        <f>'1 день'!J70</f>
        <v>726.93000000000006</v>
      </c>
      <c r="J6" s="144">
        <f>'1 день'!K70</f>
        <v>0.37</v>
      </c>
      <c r="K6" s="144">
        <f>'1 день'!L70</f>
        <v>27.709999999999997</v>
      </c>
      <c r="L6" s="144">
        <f>'1 день'!M70</f>
        <v>43.370000000000005</v>
      </c>
      <c r="M6" s="144">
        <f>'1 день'!N70</f>
        <v>4.79</v>
      </c>
      <c r="N6" s="144">
        <f>'1 день'!O70</f>
        <v>131.38</v>
      </c>
      <c r="O6" s="144">
        <f>'1 день'!P70</f>
        <v>672.65000000000009</v>
      </c>
      <c r="P6" s="144">
        <f>'1 день'!Q70</f>
        <v>132.08000000000001</v>
      </c>
      <c r="Q6" s="144">
        <f>'1 день'!R70</f>
        <v>6.41</v>
      </c>
    </row>
    <row r="7" spans="2:17" ht="15.75">
      <c r="B7" s="235" t="s">
        <v>112</v>
      </c>
      <c r="C7" s="144">
        <f>'2 день'!D23</f>
        <v>280.59999999999997</v>
      </c>
      <c r="D7" s="144">
        <f>'2 день'!E23</f>
        <v>17.380000000000003</v>
      </c>
      <c r="E7" s="144">
        <f>'2 день'!F23</f>
        <v>9.4</v>
      </c>
      <c r="F7" s="144">
        <f>'2 день'!G23</f>
        <v>14.890000000000002</v>
      </c>
      <c r="G7" s="144">
        <f>'2 день'!H23</f>
        <v>2.2000000000000002</v>
      </c>
      <c r="H7" s="144">
        <f>'2 день'!I23</f>
        <v>77.75</v>
      </c>
      <c r="I7" s="144">
        <f>'2 день'!J23</f>
        <v>514.95000000000005</v>
      </c>
      <c r="J7" s="144">
        <f>'2 день'!K23</f>
        <v>0.13</v>
      </c>
      <c r="K7" s="144">
        <f>'2 день'!L23</f>
        <v>8.69</v>
      </c>
      <c r="L7" s="144">
        <f>'2 день'!M23</f>
        <v>0.06</v>
      </c>
      <c r="M7" s="144">
        <f>'2 день'!N23</f>
        <v>0.87</v>
      </c>
      <c r="N7" s="144">
        <f>'2 день'!O23</f>
        <v>171.54</v>
      </c>
      <c r="O7" s="144">
        <f>'2 день'!P23</f>
        <v>274.12</v>
      </c>
      <c r="P7" s="144">
        <f>'2 день'!Q23</f>
        <v>74.650000000000006</v>
      </c>
      <c r="Q7" s="144">
        <f>'2 день'!R23</f>
        <v>3.69</v>
      </c>
    </row>
    <row r="8" spans="2:17" ht="15.75">
      <c r="B8" s="236"/>
      <c r="C8" s="144">
        <f>'2 день'!D56</f>
        <v>671.65</v>
      </c>
      <c r="D8" s="144">
        <f>'2 день'!E56</f>
        <v>26.560000000000002</v>
      </c>
      <c r="E8" s="144">
        <f>'2 день'!F56</f>
        <v>15.719999999999999</v>
      </c>
      <c r="F8" s="144">
        <f>'2 день'!G56</f>
        <v>23.04</v>
      </c>
      <c r="G8" s="144">
        <f>'2 день'!H56</f>
        <v>8.0500000000000007</v>
      </c>
      <c r="H8" s="144">
        <f>'2 день'!I56</f>
        <v>98.06</v>
      </c>
      <c r="I8" s="144">
        <f>'2 день'!J56</f>
        <v>688.9899999999999</v>
      </c>
      <c r="J8" s="144">
        <f>'2 день'!K56</f>
        <v>0.38400000000000001</v>
      </c>
      <c r="K8" s="144">
        <f>'2 день'!L56</f>
        <v>57.8</v>
      </c>
      <c r="L8" s="144">
        <f>'2 день'!M56</f>
        <v>17.600000000000001</v>
      </c>
      <c r="M8" s="144">
        <f>'2 день'!N56</f>
        <v>4.5739999999999998</v>
      </c>
      <c r="N8" s="144">
        <f>'2 день'!O56</f>
        <v>183.274</v>
      </c>
      <c r="O8" s="144">
        <f>'2 день'!P56</f>
        <v>374.64000000000004</v>
      </c>
      <c r="P8" s="144">
        <f>'2 день'!Q56</f>
        <v>156.01600000000002</v>
      </c>
      <c r="Q8" s="144">
        <f>'2 день'!R56</f>
        <v>12.523999999999999</v>
      </c>
    </row>
    <row r="9" spans="2:17">
      <c r="B9" s="235" t="s">
        <v>113</v>
      </c>
      <c r="C9" s="145">
        <f>'3 день'!D26</f>
        <v>424.51</v>
      </c>
      <c r="D9" s="145">
        <f>'3 день'!E26</f>
        <v>18.509999999999998</v>
      </c>
      <c r="E9" s="145">
        <f>'3 день'!F26</f>
        <v>9.49</v>
      </c>
      <c r="F9" s="145">
        <f>'3 день'!G26</f>
        <v>20.65</v>
      </c>
      <c r="G9" s="145">
        <f>'3 день'!H26</f>
        <v>0.95000000000000007</v>
      </c>
      <c r="H9" s="145">
        <f>'3 день'!I26</f>
        <v>66.150000000000006</v>
      </c>
      <c r="I9" s="145">
        <f>'3 день'!J26</f>
        <v>567.12</v>
      </c>
      <c r="J9" s="145">
        <f>'3 день'!K26</f>
        <v>0.161</v>
      </c>
      <c r="K9" s="145">
        <f>'3 день'!L26</f>
        <v>24.720000000000002</v>
      </c>
      <c r="L9" s="145">
        <f>'3 день'!M26</f>
        <v>102.2</v>
      </c>
      <c r="M9" s="145">
        <f>'3 день'!N26</f>
        <v>2.06</v>
      </c>
      <c r="N9" s="145">
        <f>'3 день'!O26</f>
        <v>149.34999999999997</v>
      </c>
      <c r="O9" s="145">
        <f>'3 день'!P26</f>
        <v>274.37</v>
      </c>
      <c r="P9" s="145">
        <f>'3 день'!Q26</f>
        <v>102.72499999999999</v>
      </c>
      <c r="Q9" s="145">
        <f>'3 день'!R26</f>
        <v>5.8800000000000008</v>
      </c>
    </row>
    <row r="10" spans="2:17">
      <c r="B10" s="236"/>
      <c r="C10" s="145">
        <f>'3 день'!D56</f>
        <v>704.7</v>
      </c>
      <c r="D10" s="145">
        <f>'3 день'!E56</f>
        <v>24.1</v>
      </c>
      <c r="E10" s="145">
        <f>'3 день'!F56</f>
        <v>11.25</v>
      </c>
      <c r="F10" s="145">
        <f>'3 день'!G56</f>
        <v>28.689999999999998</v>
      </c>
      <c r="G10" s="145">
        <f>'3 день'!H56</f>
        <v>13.540000000000003</v>
      </c>
      <c r="H10" s="145">
        <f>'3 день'!I56</f>
        <v>118.42999999999998</v>
      </c>
      <c r="I10" s="145">
        <f>'3 день'!J56</f>
        <v>778.6099999999999</v>
      </c>
      <c r="J10" s="145">
        <f>'3 день'!K56</f>
        <v>0.29000000000000004</v>
      </c>
      <c r="K10" s="145">
        <f>'3 день'!L56</f>
        <v>25.380000000000003</v>
      </c>
      <c r="L10" s="145">
        <f>'3 день'!M56</f>
        <v>56.25</v>
      </c>
      <c r="M10" s="145">
        <f>'3 день'!N56</f>
        <v>6.8500000000000014</v>
      </c>
      <c r="N10" s="145">
        <f>'3 день'!O56</f>
        <v>145.41999999999999</v>
      </c>
      <c r="O10" s="145">
        <f>'3 день'!P56</f>
        <v>368.98</v>
      </c>
      <c r="P10" s="145">
        <f>'3 день'!Q56</f>
        <v>145.04</v>
      </c>
      <c r="Q10" s="145">
        <f>'3 день'!R56</f>
        <v>6.9600000000000009</v>
      </c>
    </row>
    <row r="11" spans="2:17">
      <c r="B11" s="235" t="s">
        <v>114</v>
      </c>
      <c r="C11" s="145">
        <f>'4 день'!D30</f>
        <v>192.6</v>
      </c>
      <c r="D11" s="145">
        <f>'4 день'!E30</f>
        <v>17.299999999999997</v>
      </c>
      <c r="E11" s="145">
        <f>'4 день'!F30</f>
        <v>2.88</v>
      </c>
      <c r="F11" s="145">
        <f>'4 день'!G30</f>
        <v>19.850000000000001</v>
      </c>
      <c r="G11" s="145">
        <f>'4 день'!H30</f>
        <v>1.77</v>
      </c>
      <c r="H11" s="145">
        <f>'4 день'!I30</f>
        <v>67.275000000000006</v>
      </c>
      <c r="I11" s="145">
        <f>'4 день'!J30</f>
        <v>532.57000000000005</v>
      </c>
      <c r="J11" s="145">
        <f>'4 день'!K30</f>
        <v>0.52</v>
      </c>
      <c r="K11" s="145">
        <f>'4 день'!L30</f>
        <v>3.5249999999999999</v>
      </c>
      <c r="L11" s="145">
        <f>'4 день'!M30</f>
        <v>71.844999999999999</v>
      </c>
      <c r="M11" s="145">
        <f>'4 день'!N30</f>
        <v>0.92</v>
      </c>
      <c r="N11" s="145">
        <f>'4 день'!O30</f>
        <v>377.42</v>
      </c>
      <c r="O11" s="145">
        <f>'4 день'!P30</f>
        <v>400.74</v>
      </c>
      <c r="P11" s="145">
        <f>'4 день'!Q30</f>
        <v>75.825000000000003</v>
      </c>
      <c r="Q11" s="145">
        <f>'4 день'!R30</f>
        <v>2.395</v>
      </c>
    </row>
    <row r="12" spans="2:17">
      <c r="B12" s="236"/>
      <c r="C12" s="145">
        <f>'4 день'!D65</f>
        <v>560.55999999999995</v>
      </c>
      <c r="D12" s="145">
        <f>'4 день'!E65</f>
        <v>22.41</v>
      </c>
      <c r="E12" s="145">
        <f>'4 день'!F65</f>
        <v>9.1300000000000008</v>
      </c>
      <c r="F12" s="145">
        <f>'4 день'!G65</f>
        <v>23.859999999999996</v>
      </c>
      <c r="G12" s="145">
        <f>'4 день'!H65</f>
        <v>16.549999999999997</v>
      </c>
      <c r="H12" s="145">
        <f>'4 день'!I65</f>
        <v>99.85</v>
      </c>
      <c r="I12" s="145">
        <f>'4 день'!J65</f>
        <v>675.57</v>
      </c>
      <c r="J12" s="145">
        <f>'4 день'!K65</f>
        <v>0.47</v>
      </c>
      <c r="K12" s="145">
        <f>'4 день'!L65</f>
        <v>34.730000000000004</v>
      </c>
      <c r="L12" s="145">
        <f>'4 день'!M65</f>
        <v>41.8</v>
      </c>
      <c r="M12" s="145">
        <f>'4 день'!N65</f>
        <v>9.23</v>
      </c>
      <c r="N12" s="145">
        <f>'4 день'!O65</f>
        <v>108.10000000000001</v>
      </c>
      <c r="O12" s="145">
        <f>'4 день'!P65</f>
        <v>417.83</v>
      </c>
      <c r="P12" s="145">
        <f>'4 день'!Q65</f>
        <v>126.36000000000001</v>
      </c>
      <c r="Q12" s="145">
        <f>'4 день'!R65</f>
        <v>5.2300000000000013</v>
      </c>
    </row>
    <row r="13" spans="2:17">
      <c r="B13" s="235" t="s">
        <v>115</v>
      </c>
      <c r="C13" s="145">
        <f>'5 день'!D24</f>
        <v>442.4</v>
      </c>
      <c r="D13" s="145">
        <f>'5 день'!E24</f>
        <v>15.17</v>
      </c>
      <c r="E13" s="145">
        <f>'5 день'!F24</f>
        <v>9.3199999999999985</v>
      </c>
      <c r="F13" s="145">
        <f>'5 день'!G24</f>
        <v>17.609999999999996</v>
      </c>
      <c r="G13" s="145">
        <f>'5 день'!H24</f>
        <v>3.57</v>
      </c>
      <c r="H13" s="145">
        <f>'5 день'!I24</f>
        <v>72.39</v>
      </c>
      <c r="I13" s="145">
        <f>'5 день'!J24</f>
        <v>508.71</v>
      </c>
      <c r="J13" s="145">
        <f>'5 день'!K24</f>
        <v>0.30000000000000004</v>
      </c>
      <c r="K13" s="145">
        <f>'5 день'!L24</f>
        <v>49.35</v>
      </c>
      <c r="L13" s="145">
        <f>'5 день'!M24</f>
        <v>124</v>
      </c>
      <c r="M13" s="145">
        <f>'5 день'!N24</f>
        <v>1.61</v>
      </c>
      <c r="N13" s="145">
        <f>'5 день'!O24</f>
        <v>450.23999999999995</v>
      </c>
      <c r="O13" s="145">
        <f>'5 день'!P24</f>
        <v>493.53999999999996</v>
      </c>
      <c r="P13" s="145">
        <f>'5 день'!Q24</f>
        <v>121.71</v>
      </c>
      <c r="Q13" s="145">
        <f>'5 день'!R24</f>
        <v>5.08</v>
      </c>
    </row>
    <row r="14" spans="2:17">
      <c r="B14" s="236"/>
      <c r="C14" s="145">
        <f>'5 день'!D56</f>
        <v>651.20000000000005</v>
      </c>
      <c r="D14" s="145">
        <f>'5 день'!E56</f>
        <v>24.36</v>
      </c>
      <c r="E14" s="145">
        <f>'5 день'!F56</f>
        <v>14.319999999999999</v>
      </c>
      <c r="F14" s="145">
        <f>'5 день'!G56</f>
        <v>24.3</v>
      </c>
      <c r="G14" s="145">
        <f>'5 день'!H56</f>
        <v>9.74</v>
      </c>
      <c r="H14" s="145">
        <f>'5 день'!I56</f>
        <v>110.94</v>
      </c>
      <c r="I14" s="145">
        <f>'5 день'!J56</f>
        <v>758.83999999999992</v>
      </c>
      <c r="J14" s="145">
        <f>'5 день'!K56</f>
        <v>1.51</v>
      </c>
      <c r="K14" s="145">
        <f>'5 день'!L56</f>
        <v>72.320000000000007</v>
      </c>
      <c r="L14" s="145">
        <f>'5 день'!M56</f>
        <v>5273.15</v>
      </c>
      <c r="M14" s="145">
        <f>'5 день'!N56</f>
        <v>4.25</v>
      </c>
      <c r="N14" s="145">
        <f>'5 день'!O56</f>
        <v>153.85999999999999</v>
      </c>
      <c r="O14" s="145">
        <f>'5 день'!P56</f>
        <v>487.99</v>
      </c>
      <c r="P14" s="145">
        <f>'5 день'!Q56</f>
        <v>133.62</v>
      </c>
      <c r="Q14" s="145">
        <f>'5 день'!R56</f>
        <v>9.6199999999999992</v>
      </c>
    </row>
    <row r="15" spans="2:17">
      <c r="B15" s="235" t="s">
        <v>116</v>
      </c>
      <c r="C15" s="141">
        <f>'6 день'!D16</f>
        <v>143.39999999999998</v>
      </c>
      <c r="D15" s="141">
        <f>'6 день'!E16</f>
        <v>19.720000000000002</v>
      </c>
      <c r="E15" s="141">
        <f>'6 день'!F16</f>
        <v>0</v>
      </c>
      <c r="F15" s="141">
        <f>'6 день'!G16</f>
        <v>15.900000000000002</v>
      </c>
      <c r="G15" s="141">
        <f>'6 день'!H16</f>
        <v>0.8600000000000001</v>
      </c>
      <c r="H15" s="141">
        <f>'6 день'!I16</f>
        <v>68.375</v>
      </c>
      <c r="I15" s="141">
        <f>'6 день'!J16</f>
        <v>518.71500000000003</v>
      </c>
      <c r="J15" s="141">
        <f>'6 день'!K16</f>
        <v>0.17500000000000002</v>
      </c>
      <c r="K15" s="141">
        <f>'6 день'!L16</f>
        <v>8.8350000000000009</v>
      </c>
      <c r="L15" s="141">
        <f>'6 день'!M16</f>
        <v>27.574999999999999</v>
      </c>
      <c r="M15" s="141">
        <f>'6 день'!N16</f>
        <v>1.1200000000000001</v>
      </c>
      <c r="N15" s="141">
        <f>'6 день'!O16</f>
        <v>433.2</v>
      </c>
      <c r="O15" s="141">
        <f>'6 день'!P16</f>
        <v>205.245</v>
      </c>
      <c r="P15" s="141">
        <f>'6 день'!Q16</f>
        <v>66.73</v>
      </c>
      <c r="Q15" s="141">
        <f>'6 день'!R16</f>
        <v>118.68499999999999</v>
      </c>
    </row>
    <row r="16" spans="2:17">
      <c r="B16" s="236"/>
      <c r="C16" s="141">
        <f>'6 день'!D48</f>
        <v>634.46</v>
      </c>
      <c r="D16" s="141">
        <f>'6 день'!E48</f>
        <v>26.26</v>
      </c>
      <c r="E16" s="141">
        <f>'6 день'!F48</f>
        <v>9.6999999999999993</v>
      </c>
      <c r="F16" s="141">
        <f>'6 день'!G48</f>
        <v>25.849999999999998</v>
      </c>
      <c r="G16" s="141">
        <f>'6 день'!H48</f>
        <v>14.280000000000001</v>
      </c>
      <c r="H16" s="141">
        <f>'6 день'!I48</f>
        <v>105.73000000000002</v>
      </c>
      <c r="I16" s="141">
        <f>'6 день'!J48</f>
        <v>760.43000000000006</v>
      </c>
      <c r="J16" s="141">
        <f>'6 день'!K48</f>
        <v>0.44</v>
      </c>
      <c r="K16" s="141">
        <f>'6 день'!L48</f>
        <v>42.74</v>
      </c>
      <c r="L16" s="141">
        <f>'6 день'!M48</f>
        <v>12</v>
      </c>
      <c r="M16" s="141">
        <f>'6 день'!N48</f>
        <v>5.5300000000000011</v>
      </c>
      <c r="N16" s="141">
        <f>'6 день'!O48</f>
        <v>114.47999999999999</v>
      </c>
      <c r="O16" s="141">
        <f>'6 день'!P48</f>
        <v>381.40000000000003</v>
      </c>
      <c r="P16" s="141">
        <f>'6 день'!Q48</f>
        <v>217.67</v>
      </c>
      <c r="Q16" s="141">
        <f>'6 день'!R48</f>
        <v>11.269999999999998</v>
      </c>
    </row>
    <row r="17" spans="2:17">
      <c r="B17" s="235" t="s">
        <v>117</v>
      </c>
      <c r="C17" s="200">
        <f>'7 день'!D29</f>
        <v>271.89999999999998</v>
      </c>
      <c r="D17" s="200">
        <f>'7 день'!E29</f>
        <v>20.03</v>
      </c>
      <c r="E17" s="200">
        <f>'7 день'!F29</f>
        <v>10.629999999999999</v>
      </c>
      <c r="F17" s="200">
        <f>'7 день'!G29</f>
        <v>15.580000000000002</v>
      </c>
      <c r="G17" s="200">
        <f>'7 день'!H29</f>
        <v>1.07</v>
      </c>
      <c r="H17" s="200">
        <f>'7 день'!I29</f>
        <v>65.085000000000008</v>
      </c>
      <c r="I17" s="200">
        <f>'7 день'!J29</f>
        <v>487.21000000000004</v>
      </c>
      <c r="J17" s="200">
        <f>'7 день'!K29</f>
        <v>0.14000000000000001</v>
      </c>
      <c r="K17" s="200">
        <f>'7 день'!L29</f>
        <v>1.5350000000000001</v>
      </c>
      <c r="L17" s="200">
        <f>'7 день'!M29</f>
        <v>0.26500000000000001</v>
      </c>
      <c r="M17" s="200">
        <f>'7 день'!N29</f>
        <v>0.52</v>
      </c>
      <c r="N17" s="200">
        <f>'7 день'!O29</f>
        <v>277.27000000000004</v>
      </c>
      <c r="O17" s="200">
        <f>'7 день'!P29</f>
        <v>353.35</v>
      </c>
      <c r="P17" s="200">
        <f>'7 день'!Q29</f>
        <v>61.084999999999994</v>
      </c>
      <c r="Q17" s="200">
        <f>'7 день'!R29</f>
        <v>4.2150000000000007</v>
      </c>
    </row>
    <row r="18" spans="2:17">
      <c r="B18" s="236"/>
      <c r="C18" s="141">
        <f>'7 день'!D63</f>
        <v>596.75</v>
      </c>
      <c r="D18" s="141">
        <f>'7 день'!E63</f>
        <v>22.782</v>
      </c>
      <c r="E18" s="141">
        <f>'7 день'!F63</f>
        <v>13.17</v>
      </c>
      <c r="F18" s="141">
        <f>'7 день'!G63</f>
        <v>22.878</v>
      </c>
      <c r="G18" s="141">
        <f>'7 день'!H63</f>
        <v>8.9380000000000006</v>
      </c>
      <c r="H18" s="141">
        <f>'7 день'!I63</f>
        <v>103.83799999999999</v>
      </c>
      <c r="I18" s="141">
        <f>'7 день'!J63</f>
        <v>724.44600000000003</v>
      </c>
      <c r="J18" s="141">
        <f>'7 день'!K63</f>
        <v>0.33200000000000002</v>
      </c>
      <c r="K18" s="141">
        <f>'7 день'!L63</f>
        <v>59.39</v>
      </c>
      <c r="L18" s="141">
        <f>'7 день'!M63</f>
        <v>2.2400000000000002</v>
      </c>
      <c r="M18" s="141">
        <f>'7 день'!N63</f>
        <v>4.274</v>
      </c>
      <c r="N18" s="141">
        <f>'7 день'!O63</f>
        <v>133.864</v>
      </c>
      <c r="O18" s="141">
        <f>'7 день'!P63</f>
        <v>300.07</v>
      </c>
      <c r="P18" s="141">
        <f>'7 день'!Q63</f>
        <v>107.05</v>
      </c>
      <c r="Q18" s="141">
        <f>'7 день'!R63</f>
        <v>4.6760000000000002</v>
      </c>
    </row>
    <row r="19" spans="2:17" ht="15" customHeight="1">
      <c r="B19" s="235" t="s">
        <v>118</v>
      </c>
      <c r="C19" s="141">
        <f>'8 день'!D23</f>
        <v>236.7</v>
      </c>
      <c r="D19" s="141">
        <f>'8 день'!E23</f>
        <v>20.3</v>
      </c>
      <c r="E19" s="141">
        <f>'8 день'!F23</f>
        <v>12.18</v>
      </c>
      <c r="F19" s="141">
        <f>'8 день'!G23</f>
        <v>16.759999999999998</v>
      </c>
      <c r="G19" s="141">
        <f>'8 день'!H23</f>
        <v>2.27</v>
      </c>
      <c r="H19" s="141">
        <f>'8 день'!I23</f>
        <v>72.740000000000009</v>
      </c>
      <c r="I19" s="141">
        <f>'8 день'!J23</f>
        <v>496.38</v>
      </c>
      <c r="J19" s="141">
        <f>'8 день'!K23</f>
        <v>0.126</v>
      </c>
      <c r="K19" s="141">
        <f>'8 день'!L23</f>
        <v>1.7200000000000002</v>
      </c>
      <c r="L19" s="141">
        <f>'8 день'!M23</f>
        <v>2.2600000000000002</v>
      </c>
      <c r="M19" s="141">
        <f>'8 день'!N23</f>
        <v>1.2200000000000002</v>
      </c>
      <c r="N19" s="141">
        <f>'8 день'!O23</f>
        <v>287.03000000000003</v>
      </c>
      <c r="O19" s="141">
        <f>'8 день'!P23</f>
        <v>331.36</v>
      </c>
      <c r="P19" s="141">
        <f>'8 день'!Q23</f>
        <v>60.459999999999994</v>
      </c>
      <c r="Q19" s="141">
        <f>'8 день'!R23</f>
        <v>3.08</v>
      </c>
    </row>
    <row r="20" spans="2:17" ht="15" customHeight="1">
      <c r="B20" s="236"/>
      <c r="C20" s="141">
        <f>'8 день'!D52</f>
        <v>673.65000000000009</v>
      </c>
      <c r="D20" s="141">
        <f>'8 день'!E52</f>
        <v>22.91</v>
      </c>
      <c r="E20" s="141">
        <f>'8 день'!F52</f>
        <v>0</v>
      </c>
      <c r="F20" s="141">
        <f>'8 день'!G52</f>
        <v>23</v>
      </c>
      <c r="G20" s="141">
        <f>'8 день'!H52</f>
        <v>12.07</v>
      </c>
      <c r="H20" s="141">
        <f>'8 день'!I52</f>
        <v>96.009999999999991</v>
      </c>
      <c r="I20" s="141">
        <f>'8 день'!J52</f>
        <v>715.52</v>
      </c>
      <c r="J20" s="141">
        <f>'8 день'!K52</f>
        <v>0.39499999999999996</v>
      </c>
      <c r="K20" s="141">
        <f>'8 день'!L52</f>
        <v>25.01</v>
      </c>
      <c r="L20" s="141">
        <f>'8 день'!M52</f>
        <v>0</v>
      </c>
      <c r="M20" s="141">
        <f>'8 день'!N52</f>
        <v>5.9600000000000009</v>
      </c>
      <c r="N20" s="141">
        <f>'8 день'!O52</f>
        <v>118.33</v>
      </c>
      <c r="O20" s="141">
        <f>'8 день'!P52</f>
        <v>222.11</v>
      </c>
      <c r="P20" s="141">
        <f>'8 день'!Q52</f>
        <v>116.75</v>
      </c>
      <c r="Q20" s="141">
        <f>'8 день'!R52</f>
        <v>8.58</v>
      </c>
    </row>
    <row r="21" spans="2:17" ht="15" customHeight="1">
      <c r="B21" s="235" t="s">
        <v>119</v>
      </c>
      <c r="C21" s="141">
        <f>'9 день'!D27</f>
        <v>279.09999999999997</v>
      </c>
      <c r="D21" s="141">
        <f>'9 день'!E27</f>
        <v>18.225000000000001</v>
      </c>
      <c r="E21" s="141">
        <f>'9 день'!F27</f>
        <v>6.3450000000000006</v>
      </c>
      <c r="F21" s="141">
        <f>'9 день'!G27</f>
        <v>15.950000000000001</v>
      </c>
      <c r="G21" s="141">
        <f>'9 день'!H27</f>
        <v>0.7</v>
      </c>
      <c r="H21" s="141">
        <f>'9 день'!I27</f>
        <v>67.38</v>
      </c>
      <c r="I21" s="141">
        <f>'9 день'!J27</f>
        <v>510.77</v>
      </c>
      <c r="J21" s="141">
        <f>'9 день'!K27</f>
        <v>0.16</v>
      </c>
      <c r="K21" s="141">
        <f>'9 день'!L27</f>
        <v>1.2650000000000001</v>
      </c>
      <c r="L21" s="141">
        <f>'9 день'!M27</f>
        <v>57.745000000000005</v>
      </c>
      <c r="M21" s="141">
        <f>'9 день'!N27</f>
        <v>0.62</v>
      </c>
      <c r="N21" s="141">
        <f>'9 день'!O27</f>
        <v>325.76</v>
      </c>
      <c r="O21" s="141">
        <f>'9 день'!P27</f>
        <v>319.23</v>
      </c>
      <c r="P21" s="141">
        <f>'9 день'!Q27</f>
        <v>55.685000000000002</v>
      </c>
      <c r="Q21" s="141">
        <f>'9 день'!R27</f>
        <v>1.2850000000000001</v>
      </c>
    </row>
    <row r="22" spans="2:17" ht="15" customHeight="1">
      <c r="B22" s="236"/>
      <c r="C22" s="141">
        <f>'9 день'!D56</f>
        <v>423.31</v>
      </c>
      <c r="D22" s="141">
        <f>'9 день'!E56</f>
        <v>24.84</v>
      </c>
      <c r="E22" s="141">
        <f>'9 день'!F56</f>
        <v>13.81</v>
      </c>
      <c r="F22" s="141">
        <f>'9 день'!G56</f>
        <v>26.183999999999997</v>
      </c>
      <c r="G22" s="141">
        <f>'9 день'!H56</f>
        <v>7.23</v>
      </c>
      <c r="H22" s="141">
        <f>'9 день'!I56</f>
        <v>99.22</v>
      </c>
      <c r="I22" s="141">
        <f>'9 день'!J56</f>
        <v>742.75</v>
      </c>
      <c r="J22" s="141">
        <f>'9 день'!K56</f>
        <v>0.56400000000000006</v>
      </c>
      <c r="K22" s="141">
        <f>'9 день'!L56</f>
        <v>43.344000000000001</v>
      </c>
      <c r="L22" s="141">
        <f>'9 день'!M56</f>
        <v>2.4E-2</v>
      </c>
      <c r="M22" s="141">
        <f>'9 день'!N56</f>
        <v>1.52</v>
      </c>
      <c r="N22" s="141">
        <f>'9 день'!O56</f>
        <v>140.994</v>
      </c>
      <c r="O22" s="141">
        <f>'9 день'!P56</f>
        <v>409.46400000000006</v>
      </c>
      <c r="P22" s="141">
        <f>'9 день'!Q56</f>
        <v>251.55399999999997</v>
      </c>
      <c r="Q22" s="141">
        <f>'9 день'!R56</f>
        <v>4.5500000000000007</v>
      </c>
    </row>
    <row r="23" spans="2:17" ht="15" customHeight="1">
      <c r="B23" s="235" t="s">
        <v>120</v>
      </c>
      <c r="C23" s="141">
        <f>'10 день'!D15</f>
        <v>355.66</v>
      </c>
      <c r="D23" s="141">
        <f>'10 день'!E15</f>
        <v>15.67</v>
      </c>
      <c r="E23" s="141">
        <f>'10 день'!F15</f>
        <v>4.2300000000000004</v>
      </c>
      <c r="F23" s="141">
        <f>'10 день'!G15</f>
        <v>15.91</v>
      </c>
      <c r="G23" s="141">
        <f>'10 день'!H15</f>
        <v>8.15</v>
      </c>
      <c r="H23" s="141">
        <f>'10 день'!I15</f>
        <v>83.68</v>
      </c>
      <c r="I23" s="141">
        <f>'10 день'!J15</f>
        <v>497.72</v>
      </c>
      <c r="J23" s="141">
        <f>'10 день'!K15</f>
        <v>0.125</v>
      </c>
      <c r="K23" s="141">
        <f>'10 день'!L15</f>
        <v>5</v>
      </c>
      <c r="L23" s="141">
        <f>'10 день'!M15</f>
        <v>0</v>
      </c>
      <c r="M23" s="141">
        <f>'10 день'!N15</f>
        <v>3.02</v>
      </c>
      <c r="N23" s="141">
        <f>'10 день'!O15</f>
        <v>48.3</v>
      </c>
      <c r="O23" s="141">
        <f>'10 день'!P15</f>
        <v>136.1</v>
      </c>
      <c r="P23" s="141">
        <f>'10 день'!Q15</f>
        <v>36</v>
      </c>
      <c r="Q23" s="141">
        <f>'10 день'!R15</f>
        <v>5.29</v>
      </c>
    </row>
    <row r="24" spans="2:17" ht="15" customHeight="1">
      <c r="B24" s="236"/>
      <c r="C24" s="141">
        <f>'10 день'!D49</f>
        <v>737.45000000000016</v>
      </c>
      <c r="D24" s="141">
        <f>'10 день'!E49</f>
        <v>27.750000000000004</v>
      </c>
      <c r="E24" s="141">
        <f>'10 день'!F49</f>
        <v>17.53</v>
      </c>
      <c r="F24" s="202">
        <f>'10 день'!G49</f>
        <v>28.994999999999997</v>
      </c>
      <c r="G24" s="141">
        <f>'10 день'!H49</f>
        <v>10.785</v>
      </c>
      <c r="H24" s="201">
        <f>'10 день'!I49</f>
        <v>102.91</v>
      </c>
      <c r="I24" s="201">
        <f>'10 день'!J49</f>
        <v>727</v>
      </c>
      <c r="J24" s="141">
        <f>'10 день'!K49</f>
        <v>0.55500000000000005</v>
      </c>
      <c r="K24" s="141">
        <f>'10 день'!L49</f>
        <v>91.375</v>
      </c>
      <c r="L24" s="141">
        <f>'10 день'!M49</f>
        <v>100</v>
      </c>
      <c r="M24" s="141">
        <f>'10 день'!N49</f>
        <v>5.0400000000000009</v>
      </c>
      <c r="N24" s="141">
        <f>'10 день'!O49</f>
        <v>187.76</v>
      </c>
      <c r="O24" s="141">
        <f>'10 день'!P49</f>
        <v>603.31499999999994</v>
      </c>
      <c r="P24" s="141">
        <f>'10 день'!Q49</f>
        <v>124.59</v>
      </c>
      <c r="Q24" s="141">
        <f>'10 день'!R49</f>
        <v>9.875</v>
      </c>
    </row>
    <row r="25" spans="2:17">
      <c r="B25" s="272" t="s">
        <v>121</v>
      </c>
      <c r="C25" s="142">
        <f>(C5+C7+C9+C11+C13+C15+C17+C19+C21+C23)/10</f>
        <v>306.76699999999994</v>
      </c>
      <c r="D25" s="142">
        <f t="shared" ref="D25:Q25" si="0">(D5+D7+D9+D11+D13+D15+D17+D19+D21+D23)/10</f>
        <v>17.703499999999998</v>
      </c>
      <c r="E25" s="142">
        <f t="shared" si="0"/>
        <v>7.1615000000000011</v>
      </c>
      <c r="F25" s="142">
        <f t="shared" si="0"/>
        <v>17.369999999999997</v>
      </c>
      <c r="G25" s="142">
        <f t="shared" si="0"/>
        <v>2.4020000000000001</v>
      </c>
      <c r="H25" s="142">
        <f t="shared" si="0"/>
        <v>70.629500000000007</v>
      </c>
      <c r="I25" s="142">
        <f t="shared" si="0"/>
        <v>514.03449999999998</v>
      </c>
      <c r="J25" s="142">
        <f t="shared" si="0"/>
        <v>0.20670000000000002</v>
      </c>
      <c r="K25" s="142">
        <f t="shared" si="0"/>
        <v>11.254999999999999</v>
      </c>
      <c r="L25" s="142">
        <f t="shared" si="0"/>
        <v>47.795000000000002</v>
      </c>
      <c r="M25" s="142">
        <f t="shared" si="0"/>
        <v>1.4629999999999999</v>
      </c>
      <c r="N25" s="142">
        <f t="shared" si="0"/>
        <v>275.73100000000005</v>
      </c>
      <c r="O25" s="142">
        <f t="shared" si="0"/>
        <v>310.02349999999996</v>
      </c>
      <c r="P25" s="142">
        <f t="shared" si="0"/>
        <v>79.155000000000001</v>
      </c>
      <c r="Q25" s="142">
        <f t="shared" si="0"/>
        <v>15.722</v>
      </c>
    </row>
    <row r="26" spans="2:17">
      <c r="B26" s="273"/>
      <c r="C26" s="142">
        <f>(C6+C8+C10+C12+C14+C16+C18+C20+C22+C24)/10</f>
        <v>634.85900000000004</v>
      </c>
      <c r="D26" s="142">
        <f t="shared" ref="D26:Q26" si="1">(D6+D8+D10+D12+D14+D16+D18+D20+D22+D24)/10</f>
        <v>24.867200000000004</v>
      </c>
      <c r="E26" s="142">
        <f t="shared" si="1"/>
        <v>11.376000000000001</v>
      </c>
      <c r="F26" s="142">
        <f t="shared" si="1"/>
        <v>25.412699999999997</v>
      </c>
      <c r="G26" s="142">
        <f t="shared" si="1"/>
        <v>11.233300000000002</v>
      </c>
      <c r="H26" s="142">
        <f t="shared" si="1"/>
        <v>103.22580000000001</v>
      </c>
      <c r="I26" s="142">
        <f t="shared" si="1"/>
        <v>729.90859999999998</v>
      </c>
      <c r="J26" s="142">
        <f t="shared" si="1"/>
        <v>0.53099999999999992</v>
      </c>
      <c r="K26" s="142">
        <f t="shared" si="1"/>
        <v>47.979900000000001</v>
      </c>
      <c r="L26" s="142">
        <f t="shared" si="1"/>
        <v>554.64340000000004</v>
      </c>
      <c r="M26" s="142">
        <f t="shared" si="1"/>
        <v>5.2018000000000004</v>
      </c>
      <c r="N26" s="142">
        <f t="shared" si="1"/>
        <v>141.74619999999999</v>
      </c>
      <c r="O26" s="142">
        <f t="shared" si="1"/>
        <v>423.84490000000005</v>
      </c>
      <c r="P26" s="142">
        <f t="shared" si="1"/>
        <v>151.07299999999998</v>
      </c>
      <c r="Q26" s="142">
        <f t="shared" si="1"/>
        <v>7.9694999999999991</v>
      </c>
    </row>
  </sheetData>
  <mergeCells count="22">
    <mergeCell ref="C3:C4"/>
    <mergeCell ref="D3:D4"/>
    <mergeCell ref="E3:E4"/>
    <mergeCell ref="F3:F4"/>
    <mergeCell ref="B7:B8"/>
    <mergeCell ref="G3:G4"/>
    <mergeCell ref="H3:H4"/>
    <mergeCell ref="I3:I4"/>
    <mergeCell ref="J3:M3"/>
    <mergeCell ref="N3:Q3"/>
    <mergeCell ref="B1:B2"/>
    <mergeCell ref="B25:B26"/>
    <mergeCell ref="B15:B16"/>
    <mergeCell ref="B17:B18"/>
    <mergeCell ref="B19:B20"/>
    <mergeCell ref="B5:B6"/>
    <mergeCell ref="B3:B4"/>
    <mergeCell ref="B21:B22"/>
    <mergeCell ref="B23:B24"/>
    <mergeCell ref="B9:B10"/>
    <mergeCell ref="B11:B12"/>
    <mergeCell ref="B13:B14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90" zoomScaleNormal="90" workbookViewId="0">
      <selection activeCell="E12" sqref="E12"/>
    </sheetView>
  </sheetViews>
  <sheetFormatPr defaultColWidth="29.28515625" defaultRowHeight="15"/>
  <cols>
    <col min="2" max="2" width="14.140625" customWidth="1"/>
    <col min="3" max="3" width="12.140625" customWidth="1"/>
    <col min="4" max="4" width="10.5703125" customWidth="1"/>
    <col min="5" max="6" width="12.140625" customWidth="1"/>
  </cols>
  <sheetData>
    <row r="1" spans="1:6">
      <c r="A1" s="146"/>
    </row>
    <row r="2" spans="1:6">
      <c r="A2" s="268" t="s">
        <v>131</v>
      </c>
      <c r="B2" s="268"/>
      <c r="C2" s="268"/>
      <c r="D2" s="268"/>
      <c r="E2" s="268"/>
      <c r="F2" s="268"/>
    </row>
    <row r="3" spans="1:6">
      <c r="A3" s="268" t="s">
        <v>132</v>
      </c>
      <c r="B3" s="268"/>
      <c r="C3" s="268"/>
      <c r="D3" s="268"/>
      <c r="E3" s="268"/>
      <c r="F3" s="268"/>
    </row>
    <row r="4" spans="1:6">
      <c r="A4" s="268" t="s">
        <v>133</v>
      </c>
      <c r="B4" s="268"/>
      <c r="C4" s="268"/>
      <c r="D4" s="268"/>
      <c r="E4" s="268"/>
      <c r="F4" s="268"/>
    </row>
    <row r="5" spans="1:6">
      <c r="A5" s="146"/>
    </row>
    <row r="6" spans="1:6" ht="27.75" customHeight="1">
      <c r="A6" s="270" t="s">
        <v>134</v>
      </c>
      <c r="B6" s="270" t="s">
        <v>135</v>
      </c>
      <c r="C6" s="270"/>
      <c r="D6" s="270"/>
      <c r="E6" s="270"/>
      <c r="F6" s="270"/>
    </row>
    <row r="7" spans="1:6">
      <c r="A7" s="270"/>
      <c r="B7" s="270" t="s">
        <v>136</v>
      </c>
      <c r="C7" s="274" t="s">
        <v>152</v>
      </c>
      <c r="D7" s="274"/>
      <c r="E7" s="274" t="s">
        <v>153</v>
      </c>
      <c r="F7" s="274"/>
    </row>
    <row r="8" spans="1:6">
      <c r="A8" s="270"/>
      <c r="B8" s="270"/>
      <c r="C8" s="149">
        <v>20</v>
      </c>
      <c r="D8" s="149">
        <v>25</v>
      </c>
      <c r="E8" s="149">
        <v>30</v>
      </c>
      <c r="F8" s="149">
        <v>35</v>
      </c>
    </row>
    <row r="9" spans="1:6" s="147" customFormat="1">
      <c r="A9" s="148" t="s">
        <v>137</v>
      </c>
      <c r="B9" s="148">
        <v>77</v>
      </c>
      <c r="C9" s="149">
        <f>B9*20%</f>
        <v>15.4</v>
      </c>
      <c r="D9" s="149">
        <f>B9*25%</f>
        <v>19.25</v>
      </c>
      <c r="E9" s="149">
        <f>B9*30%</f>
        <v>23.099999999999998</v>
      </c>
      <c r="F9" s="149">
        <f>B9*35%</f>
        <v>26.95</v>
      </c>
    </row>
    <row r="10" spans="1:6" s="147" customFormat="1">
      <c r="A10" s="148" t="s">
        <v>138</v>
      </c>
      <c r="B10" s="148">
        <v>79</v>
      </c>
      <c r="C10" s="149">
        <f t="shared" ref="C10:C23" si="0">B10*20%</f>
        <v>15.8</v>
      </c>
      <c r="D10" s="149">
        <f t="shared" ref="D10:D23" si="1">B10*25%</f>
        <v>19.75</v>
      </c>
      <c r="E10" s="149">
        <f t="shared" ref="E10:E23" si="2">B10*30%</f>
        <v>23.7</v>
      </c>
      <c r="F10" s="149">
        <f t="shared" ref="F10:F23" si="3">B10*35%</f>
        <v>27.65</v>
      </c>
    </row>
    <row r="11" spans="1:6" s="147" customFormat="1">
      <c r="A11" s="148" t="s">
        <v>139</v>
      </c>
      <c r="B11" s="148">
        <v>335</v>
      </c>
      <c r="C11" s="149">
        <f t="shared" si="0"/>
        <v>67</v>
      </c>
      <c r="D11" s="149">
        <f t="shared" si="1"/>
        <v>83.75</v>
      </c>
      <c r="E11" s="149">
        <f t="shared" si="2"/>
        <v>100.5</v>
      </c>
      <c r="F11" s="149">
        <f t="shared" si="3"/>
        <v>117.24999999999999</v>
      </c>
    </row>
    <row r="12" spans="1:6" s="147" customFormat="1">
      <c r="A12" s="148" t="s">
        <v>140</v>
      </c>
      <c r="B12" s="148">
        <v>2350</v>
      </c>
      <c r="C12" s="149">
        <f t="shared" si="0"/>
        <v>470</v>
      </c>
      <c r="D12" s="149">
        <f t="shared" si="1"/>
        <v>587.5</v>
      </c>
      <c r="E12" s="149">
        <f t="shared" si="2"/>
        <v>705</v>
      </c>
      <c r="F12" s="149">
        <f t="shared" si="3"/>
        <v>822.5</v>
      </c>
    </row>
    <row r="13" spans="1:6" s="147" customFormat="1">
      <c r="A13" s="148" t="s">
        <v>141</v>
      </c>
      <c r="B13" s="148">
        <v>1.2</v>
      </c>
      <c r="C13" s="149">
        <f t="shared" si="0"/>
        <v>0.24</v>
      </c>
      <c r="D13" s="149">
        <f t="shared" si="1"/>
        <v>0.3</v>
      </c>
      <c r="E13" s="149">
        <f t="shared" si="2"/>
        <v>0.36</v>
      </c>
      <c r="F13" s="149">
        <f t="shared" si="3"/>
        <v>0.42</v>
      </c>
    </row>
    <row r="14" spans="1:6">
      <c r="A14" s="148" t="s">
        <v>142</v>
      </c>
      <c r="B14" s="148">
        <v>1.4</v>
      </c>
      <c r="C14" s="149">
        <f t="shared" si="0"/>
        <v>0.27999999999999997</v>
      </c>
      <c r="D14" s="149">
        <f t="shared" si="1"/>
        <v>0.35</v>
      </c>
      <c r="E14" s="149">
        <f t="shared" si="2"/>
        <v>0.42</v>
      </c>
      <c r="F14" s="149">
        <f t="shared" si="3"/>
        <v>0.48999999999999994</v>
      </c>
    </row>
    <row r="15" spans="1:6">
      <c r="A15" s="148" t="s">
        <v>143</v>
      </c>
      <c r="B15" s="148">
        <v>60</v>
      </c>
      <c r="C15" s="149">
        <f t="shared" si="0"/>
        <v>12</v>
      </c>
      <c r="D15" s="149">
        <f t="shared" si="1"/>
        <v>15</v>
      </c>
      <c r="E15" s="149">
        <f t="shared" si="2"/>
        <v>18</v>
      </c>
      <c r="F15" s="149">
        <f t="shared" si="3"/>
        <v>21</v>
      </c>
    </row>
    <row r="16" spans="1:6">
      <c r="A16" s="148" t="s">
        <v>144</v>
      </c>
      <c r="B16" s="148">
        <v>0.7</v>
      </c>
      <c r="C16" s="149">
        <f t="shared" si="0"/>
        <v>0.13999999999999999</v>
      </c>
      <c r="D16" s="149">
        <f t="shared" si="1"/>
        <v>0.17499999999999999</v>
      </c>
      <c r="E16" s="149">
        <f t="shared" si="2"/>
        <v>0.21</v>
      </c>
      <c r="F16" s="149">
        <f t="shared" si="3"/>
        <v>0.24499999999999997</v>
      </c>
    </row>
    <row r="17" spans="1:6">
      <c r="A17" s="148" t="s">
        <v>145</v>
      </c>
      <c r="B17" s="148">
        <v>10</v>
      </c>
      <c r="C17" s="149">
        <f t="shared" si="0"/>
        <v>2</v>
      </c>
      <c r="D17" s="149">
        <f t="shared" si="1"/>
        <v>2.5</v>
      </c>
      <c r="E17" s="149">
        <f t="shared" si="2"/>
        <v>3</v>
      </c>
      <c r="F17" s="149">
        <f t="shared" si="3"/>
        <v>3.5</v>
      </c>
    </row>
    <row r="18" spans="1:6">
      <c r="A18" s="148" t="s">
        <v>146</v>
      </c>
      <c r="B18" s="148">
        <v>1100</v>
      </c>
      <c r="C18" s="149">
        <f t="shared" si="0"/>
        <v>220</v>
      </c>
      <c r="D18" s="149">
        <f t="shared" si="1"/>
        <v>275</v>
      </c>
      <c r="E18" s="149">
        <f t="shared" si="2"/>
        <v>330</v>
      </c>
      <c r="F18" s="149">
        <f t="shared" si="3"/>
        <v>385</v>
      </c>
    </row>
    <row r="19" spans="1:6">
      <c r="A19" s="148" t="s">
        <v>147</v>
      </c>
      <c r="B19" s="148">
        <v>1650</v>
      </c>
      <c r="C19" s="149">
        <f t="shared" si="0"/>
        <v>330</v>
      </c>
      <c r="D19" s="149">
        <f t="shared" si="1"/>
        <v>412.5</v>
      </c>
      <c r="E19" s="149">
        <f t="shared" si="2"/>
        <v>495</v>
      </c>
      <c r="F19" s="149">
        <f t="shared" si="3"/>
        <v>577.5</v>
      </c>
    </row>
    <row r="20" spans="1:6">
      <c r="A20" s="148" t="s">
        <v>148</v>
      </c>
      <c r="B20" s="148">
        <v>250</v>
      </c>
      <c r="C20" s="149">
        <f t="shared" si="0"/>
        <v>50</v>
      </c>
      <c r="D20" s="149">
        <f t="shared" si="1"/>
        <v>62.5</v>
      </c>
      <c r="E20" s="149">
        <f t="shared" si="2"/>
        <v>75</v>
      </c>
      <c r="F20" s="149">
        <f t="shared" si="3"/>
        <v>87.5</v>
      </c>
    </row>
    <row r="21" spans="1:6">
      <c r="A21" s="148" t="s">
        <v>149</v>
      </c>
      <c r="B21" s="148">
        <v>12</v>
      </c>
      <c r="C21" s="149">
        <f t="shared" si="0"/>
        <v>2.4000000000000004</v>
      </c>
      <c r="D21" s="149">
        <f t="shared" si="1"/>
        <v>3</v>
      </c>
      <c r="E21" s="149">
        <f t="shared" si="2"/>
        <v>3.5999999999999996</v>
      </c>
      <c r="F21" s="149">
        <f t="shared" si="3"/>
        <v>4.1999999999999993</v>
      </c>
    </row>
    <row r="22" spans="1:6">
      <c r="A22" s="148" t="s">
        <v>150</v>
      </c>
      <c r="B22" s="148">
        <v>10</v>
      </c>
      <c r="C22" s="149">
        <f t="shared" si="0"/>
        <v>2</v>
      </c>
      <c r="D22" s="149">
        <f t="shared" si="1"/>
        <v>2.5</v>
      </c>
      <c r="E22" s="149">
        <f t="shared" si="2"/>
        <v>3</v>
      </c>
      <c r="F22" s="149">
        <f t="shared" si="3"/>
        <v>3.5</v>
      </c>
    </row>
    <row r="23" spans="1:6">
      <c r="A23" s="148" t="s">
        <v>151</v>
      </c>
      <c r="B23" s="148">
        <v>0.1</v>
      </c>
      <c r="C23" s="149">
        <f t="shared" si="0"/>
        <v>2.0000000000000004E-2</v>
      </c>
      <c r="D23" s="149">
        <f t="shared" si="1"/>
        <v>2.5000000000000001E-2</v>
      </c>
      <c r="E23" s="149">
        <f t="shared" si="2"/>
        <v>0.03</v>
      </c>
      <c r="F23" s="149">
        <f t="shared" si="3"/>
        <v>3.4999999999999996E-2</v>
      </c>
    </row>
  </sheetData>
  <mergeCells count="8">
    <mergeCell ref="B6:F6"/>
    <mergeCell ref="A2:F2"/>
    <mergeCell ref="A3:F3"/>
    <mergeCell ref="A4:F4"/>
    <mergeCell ref="E7:F7"/>
    <mergeCell ref="C7:D7"/>
    <mergeCell ref="A6:A8"/>
    <mergeCell ref="B7:B8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2"/>
  <sheetViews>
    <sheetView view="pageBreakPreview" zoomScale="60" zoomScaleNormal="100" workbookViewId="0">
      <pane xSplit="1" ySplit="2" topLeftCell="B31" activePane="bottomRight" state="frozen"/>
      <selection pane="topRight" activeCell="B1" sqref="B1"/>
      <selection pane="bottomLeft" activeCell="A3" sqref="A3"/>
      <selection pane="bottomRight" activeCell="A54" sqref="A54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</cols>
  <sheetData>
    <row r="1" spans="1:18" ht="15.75">
      <c r="A1" s="232" t="s">
        <v>0</v>
      </c>
      <c r="B1" s="233" t="s">
        <v>1</v>
      </c>
      <c r="C1" s="234" t="s">
        <v>2</v>
      </c>
      <c r="D1" s="244" t="s">
        <v>3</v>
      </c>
      <c r="E1" s="241" t="s">
        <v>4</v>
      </c>
      <c r="F1" s="239" t="s">
        <v>5</v>
      </c>
      <c r="G1" s="241" t="s">
        <v>6</v>
      </c>
      <c r="H1" s="239" t="s">
        <v>7</v>
      </c>
      <c r="I1" s="234" t="s">
        <v>8</v>
      </c>
      <c r="J1" s="234" t="s">
        <v>9</v>
      </c>
      <c r="K1" s="237" t="s">
        <v>10</v>
      </c>
      <c r="L1" s="237"/>
      <c r="M1" s="237"/>
      <c r="N1" s="237"/>
      <c r="O1" s="237" t="s">
        <v>11</v>
      </c>
      <c r="P1" s="237"/>
      <c r="Q1" s="237"/>
      <c r="R1" s="237"/>
    </row>
    <row r="2" spans="1:18" ht="72" customHeight="1">
      <c r="A2" s="232"/>
      <c r="B2" s="233"/>
      <c r="C2" s="234"/>
      <c r="D2" s="245"/>
      <c r="E2" s="241"/>
      <c r="F2" s="240"/>
      <c r="G2" s="241"/>
      <c r="H2" s="240"/>
      <c r="I2" s="234"/>
      <c r="J2" s="234"/>
      <c r="K2" s="137" t="s">
        <v>12</v>
      </c>
      <c r="L2" s="137" t="s">
        <v>13</v>
      </c>
      <c r="M2" s="137" t="s">
        <v>14</v>
      </c>
      <c r="N2" s="137" t="s">
        <v>15</v>
      </c>
      <c r="O2" s="137" t="s">
        <v>16</v>
      </c>
      <c r="P2" s="137" t="s">
        <v>17</v>
      </c>
      <c r="Q2" s="137" t="s">
        <v>18</v>
      </c>
      <c r="R2" s="137" t="s">
        <v>19</v>
      </c>
    </row>
    <row r="3" spans="1:18" ht="15.75">
      <c r="A3" s="15"/>
      <c r="B3" s="246" t="s">
        <v>77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86"/>
    </row>
    <row r="4" spans="1:18" ht="16.5" thickBot="1">
      <c r="A4" s="5"/>
      <c r="B4" s="247" t="s">
        <v>21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6"/>
    </row>
    <row r="5" spans="1:18" ht="16.5" thickBot="1">
      <c r="A5" s="7" t="s">
        <v>280</v>
      </c>
      <c r="B5" s="8" t="s">
        <v>279</v>
      </c>
      <c r="C5" s="9">
        <v>100</v>
      </c>
      <c r="D5" s="9">
        <v>53.1</v>
      </c>
      <c r="E5" s="9">
        <v>12.76</v>
      </c>
      <c r="F5" s="9">
        <f>16.92/1.8</f>
        <v>9.4</v>
      </c>
      <c r="G5" s="9">
        <v>13.89</v>
      </c>
      <c r="H5" s="9">
        <f>2.16/1.8</f>
        <v>1.2</v>
      </c>
      <c r="I5" s="9">
        <v>13.82</v>
      </c>
      <c r="J5" s="9">
        <v>191.75</v>
      </c>
      <c r="K5" s="9">
        <v>0.05</v>
      </c>
      <c r="L5" s="9">
        <v>0.39</v>
      </c>
      <c r="M5" s="9">
        <v>0.06</v>
      </c>
      <c r="N5" s="9">
        <v>0</v>
      </c>
      <c r="O5" s="9">
        <v>144.5</v>
      </c>
      <c r="P5" s="9">
        <v>185.07</v>
      </c>
      <c r="Q5" s="9">
        <v>21.7</v>
      </c>
      <c r="R5" s="10">
        <v>0.64</v>
      </c>
    </row>
    <row r="6" spans="1:18" ht="15.75">
      <c r="A6" s="3"/>
      <c r="B6" s="87" t="s">
        <v>220</v>
      </c>
      <c r="C6" s="12">
        <v>85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ht="15.75">
      <c r="A7" s="3"/>
      <c r="B7" s="87" t="s">
        <v>196</v>
      </c>
      <c r="C7" s="12">
        <v>10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18" ht="15.75">
      <c r="A8" s="15"/>
      <c r="B8" s="88" t="s">
        <v>222</v>
      </c>
      <c r="C8" s="18">
        <v>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</row>
    <row r="9" spans="1:18" ht="15.75">
      <c r="A9" s="15"/>
      <c r="B9" s="88" t="s">
        <v>29</v>
      </c>
      <c r="C9" s="18">
        <v>4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</row>
    <row r="10" spans="1:18" ht="15.75">
      <c r="A10" s="5"/>
      <c r="B10" s="89" t="s">
        <v>223</v>
      </c>
      <c r="C10" s="14">
        <v>3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5.75">
      <c r="A11" s="5"/>
      <c r="B11" s="89" t="s">
        <v>53</v>
      </c>
      <c r="C11" s="14">
        <v>5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18" ht="15.75">
      <c r="A12" s="5"/>
      <c r="B12" s="89" t="s">
        <v>86</v>
      </c>
      <c r="C12" s="14">
        <f>2*2</f>
        <v>4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</row>
    <row r="13" spans="1:18" ht="16.5" thickBot="1">
      <c r="A13" s="5"/>
      <c r="B13" s="123" t="s">
        <v>71</v>
      </c>
      <c r="C13" s="124">
        <v>35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18" ht="16.5" thickBot="1">
      <c r="A14" s="23" t="s">
        <v>282</v>
      </c>
      <c r="B14" s="24" t="s">
        <v>281</v>
      </c>
      <c r="C14" s="25">
        <v>200</v>
      </c>
      <c r="D14" s="25">
        <v>146.80000000000001</v>
      </c>
      <c r="E14" s="44">
        <v>1.1599999999999999</v>
      </c>
      <c r="F14" s="44"/>
      <c r="G14" s="44">
        <v>0.3</v>
      </c>
      <c r="H14" s="44">
        <v>0.3</v>
      </c>
      <c r="I14" s="44">
        <v>37.26</v>
      </c>
      <c r="J14" s="44">
        <v>196.38</v>
      </c>
      <c r="K14" s="44">
        <v>0.02</v>
      </c>
      <c r="L14" s="44">
        <v>0.8</v>
      </c>
      <c r="M14" s="44"/>
      <c r="N14" s="44">
        <v>0.2</v>
      </c>
      <c r="O14" s="44">
        <v>5.84</v>
      </c>
      <c r="P14" s="44">
        <v>46</v>
      </c>
      <c r="Q14" s="44">
        <v>33</v>
      </c>
      <c r="R14" s="45">
        <v>0.96</v>
      </c>
    </row>
    <row r="15" spans="1:18" ht="15.75">
      <c r="A15" s="3"/>
      <c r="B15" s="87" t="s">
        <v>264</v>
      </c>
      <c r="C15" s="12">
        <f>100/1000*200</f>
        <v>20</v>
      </c>
      <c r="D15" s="1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.75">
      <c r="A16" s="15"/>
      <c r="B16" s="88" t="s">
        <v>29</v>
      </c>
      <c r="C16" s="18">
        <v>16</v>
      </c>
      <c r="D16" s="1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5.75">
      <c r="A17" s="5"/>
      <c r="B17" s="89" t="s">
        <v>55</v>
      </c>
      <c r="C17" s="14">
        <f>1/1000*200</f>
        <v>0.2</v>
      </c>
      <c r="D17" s="1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16.5" thickBot="1">
      <c r="A18" s="5"/>
      <c r="B18" s="89" t="s">
        <v>54</v>
      </c>
      <c r="C18" s="14">
        <v>200</v>
      </c>
      <c r="D18" s="1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16.5" thickBot="1">
      <c r="A19" s="7"/>
      <c r="B19" s="62" t="s">
        <v>38</v>
      </c>
      <c r="C19" s="59">
        <v>75</v>
      </c>
      <c r="D19" s="59">
        <v>65.5</v>
      </c>
      <c r="E19" s="59">
        <v>0.3</v>
      </c>
      <c r="F19" s="59"/>
      <c r="G19" s="59">
        <v>0.3</v>
      </c>
      <c r="H19" s="59">
        <v>0.3</v>
      </c>
      <c r="I19" s="59">
        <v>7.35</v>
      </c>
      <c r="J19" s="59">
        <v>33.299999999999997</v>
      </c>
      <c r="K19" s="59">
        <v>0.02</v>
      </c>
      <c r="L19" s="59">
        <v>7.5</v>
      </c>
      <c r="M19" s="59"/>
      <c r="N19" s="59">
        <v>0.15</v>
      </c>
      <c r="O19" s="59">
        <v>12</v>
      </c>
      <c r="P19" s="59">
        <v>8.25</v>
      </c>
      <c r="Q19" s="59">
        <v>6.75</v>
      </c>
      <c r="R19" s="60">
        <v>1.65</v>
      </c>
    </row>
    <row r="20" spans="1:18" ht="16.5" thickBot="1">
      <c r="A20" s="55"/>
      <c r="B20" s="27" t="s">
        <v>56</v>
      </c>
      <c r="C20" s="21">
        <v>75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63"/>
    </row>
    <row r="21" spans="1:18" ht="16.5" thickBot="1">
      <c r="A21" s="23" t="s">
        <v>35</v>
      </c>
      <c r="B21" s="24" t="s">
        <v>36</v>
      </c>
      <c r="C21" s="25">
        <v>40</v>
      </c>
      <c r="D21" s="25">
        <v>15.2</v>
      </c>
      <c r="E21" s="25">
        <v>3.16</v>
      </c>
      <c r="F21" s="25"/>
      <c r="G21" s="25">
        <v>0.4</v>
      </c>
      <c r="H21" s="25">
        <v>0.4</v>
      </c>
      <c r="I21" s="25">
        <v>19.32</v>
      </c>
      <c r="J21" s="25">
        <v>93.52</v>
      </c>
      <c r="K21" s="25">
        <v>0.04</v>
      </c>
      <c r="L21" s="25"/>
      <c r="M21" s="25"/>
      <c r="N21" s="25">
        <v>0.52</v>
      </c>
      <c r="O21" s="25">
        <v>9.1999999999999993</v>
      </c>
      <c r="P21" s="25">
        <v>34.799999999999997</v>
      </c>
      <c r="Q21" s="25">
        <v>13.2</v>
      </c>
      <c r="R21" s="26">
        <v>0.44</v>
      </c>
    </row>
    <row r="22" spans="1:18" ht="16.5" thickBot="1">
      <c r="A22" s="19"/>
      <c r="B22" s="27" t="s">
        <v>37</v>
      </c>
      <c r="C22" s="21">
        <v>40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6.5" thickBot="1">
      <c r="A23" s="36"/>
      <c r="B23" s="37" t="s">
        <v>40</v>
      </c>
      <c r="C23" s="38"/>
      <c r="D23" s="38">
        <f t="shared" ref="D23:R23" si="0">SUM(D5:D22)</f>
        <v>280.59999999999997</v>
      </c>
      <c r="E23" s="38">
        <f t="shared" si="0"/>
        <v>17.380000000000003</v>
      </c>
      <c r="F23" s="38">
        <f t="shared" si="0"/>
        <v>9.4</v>
      </c>
      <c r="G23" s="122">
        <f t="shared" si="0"/>
        <v>14.890000000000002</v>
      </c>
      <c r="H23" s="38">
        <f t="shared" si="0"/>
        <v>2.2000000000000002</v>
      </c>
      <c r="I23" s="122">
        <f t="shared" si="0"/>
        <v>77.75</v>
      </c>
      <c r="J23" s="122">
        <f t="shared" si="0"/>
        <v>514.95000000000005</v>
      </c>
      <c r="K23" s="38">
        <f t="shared" si="0"/>
        <v>0.13</v>
      </c>
      <c r="L23" s="38">
        <f t="shared" si="0"/>
        <v>8.69</v>
      </c>
      <c r="M23" s="38">
        <f t="shared" si="0"/>
        <v>0.06</v>
      </c>
      <c r="N23" s="38">
        <f t="shared" si="0"/>
        <v>0.87</v>
      </c>
      <c r="O23" s="38">
        <f t="shared" si="0"/>
        <v>171.54</v>
      </c>
      <c r="P23" s="38">
        <f t="shared" si="0"/>
        <v>274.12</v>
      </c>
      <c r="Q23" s="38">
        <f t="shared" si="0"/>
        <v>74.650000000000006</v>
      </c>
      <c r="R23" s="38">
        <f t="shared" si="0"/>
        <v>3.69</v>
      </c>
    </row>
    <row r="24" spans="1:18" ht="16.5" thickBot="1">
      <c r="A24" s="19"/>
      <c r="B24" s="242" t="s">
        <v>41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135"/>
    </row>
    <row r="25" spans="1:18" ht="31.5" customHeight="1" thickBot="1">
      <c r="A25" s="7" t="s">
        <v>283</v>
      </c>
      <c r="B25" s="8" t="s">
        <v>244</v>
      </c>
      <c r="C25" s="9">
        <v>100</v>
      </c>
      <c r="D25" s="9">
        <v>88.37</v>
      </c>
      <c r="E25" s="79">
        <v>0.93</v>
      </c>
      <c r="F25" s="79"/>
      <c r="G25" s="79">
        <v>6.13</v>
      </c>
      <c r="H25" s="79">
        <v>6.13</v>
      </c>
      <c r="I25" s="79">
        <v>2.87</v>
      </c>
      <c r="J25" s="79">
        <v>70.41</v>
      </c>
      <c r="K25" s="79">
        <v>0.04</v>
      </c>
      <c r="L25" s="79">
        <v>18.05</v>
      </c>
      <c r="M25" s="79"/>
      <c r="N25" s="79">
        <v>3.14</v>
      </c>
      <c r="O25" s="79">
        <v>24.67</v>
      </c>
      <c r="P25" s="79">
        <v>26.22</v>
      </c>
      <c r="Q25" s="79">
        <v>16.66</v>
      </c>
      <c r="R25" s="80">
        <v>0.73</v>
      </c>
    </row>
    <row r="26" spans="1:18" ht="15.75">
      <c r="A26" s="3"/>
      <c r="B26" s="125" t="s">
        <v>245</v>
      </c>
      <c r="C26" s="12">
        <v>56.5</v>
      </c>
      <c r="D26" s="1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.75">
      <c r="A27" s="15"/>
      <c r="B27" s="126" t="s">
        <v>78</v>
      </c>
      <c r="C27" s="18">
        <v>43.8</v>
      </c>
      <c r="D27" s="1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5.75">
      <c r="A28" s="15"/>
      <c r="B28" s="126" t="s">
        <v>246</v>
      </c>
      <c r="C28" s="18">
        <v>15</v>
      </c>
      <c r="D28" s="1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5.75">
      <c r="A29" s="5"/>
      <c r="B29" s="127" t="s">
        <v>51</v>
      </c>
      <c r="C29" s="14">
        <v>0.4</v>
      </c>
      <c r="D29" s="14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6.5" thickBot="1">
      <c r="A30" s="5"/>
      <c r="B30" s="127" t="s">
        <v>44</v>
      </c>
      <c r="C30" s="14">
        <v>6</v>
      </c>
      <c r="D30" s="1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6.5" thickBot="1">
      <c r="A31" s="7" t="s">
        <v>285</v>
      </c>
      <c r="B31" s="8" t="s">
        <v>284</v>
      </c>
      <c r="C31" s="9">
        <v>200</v>
      </c>
      <c r="D31" s="9">
        <f>214.8/2.5*2</f>
        <v>171.84</v>
      </c>
      <c r="E31" s="79">
        <f>4.07*2</f>
        <v>8.14</v>
      </c>
      <c r="F31" s="79">
        <v>5.22</v>
      </c>
      <c r="G31" s="79">
        <v>5.48</v>
      </c>
      <c r="H31" s="79">
        <v>0.26</v>
      </c>
      <c r="I31" s="79">
        <f>6.66*2</f>
        <v>13.32</v>
      </c>
      <c r="J31" s="79">
        <f>60.34*2</f>
        <v>120.68</v>
      </c>
      <c r="K31" s="79">
        <v>0.08</v>
      </c>
      <c r="L31" s="79">
        <v>6.42</v>
      </c>
      <c r="M31" s="79">
        <v>0</v>
      </c>
      <c r="N31" s="79">
        <v>0</v>
      </c>
      <c r="O31" s="79">
        <f>43.17*2</f>
        <v>86.34</v>
      </c>
      <c r="P31" s="79">
        <f>65.61*2</f>
        <v>131.22</v>
      </c>
      <c r="Q31" s="79">
        <f>21.76*2</f>
        <v>43.52</v>
      </c>
      <c r="R31" s="80">
        <f>0.52*2</f>
        <v>1.04</v>
      </c>
    </row>
    <row r="32" spans="1:18" ht="15.75">
      <c r="A32" s="114"/>
      <c r="B32" s="169" t="s">
        <v>259</v>
      </c>
      <c r="C32" s="91">
        <v>32</v>
      </c>
      <c r="D32" s="91"/>
      <c r="E32" s="114"/>
      <c r="F32" s="114"/>
      <c r="G32" s="114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.75">
      <c r="A33" s="116"/>
      <c r="B33" s="128" t="s">
        <v>48</v>
      </c>
      <c r="C33" s="58">
        <v>70</v>
      </c>
      <c r="D33" s="58"/>
      <c r="E33" s="116"/>
      <c r="F33" s="116"/>
      <c r="G33" s="11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>
      <c r="A34" s="116"/>
      <c r="B34" s="128" t="s">
        <v>25</v>
      </c>
      <c r="C34" s="58">
        <v>16</v>
      </c>
      <c r="D34" s="58"/>
      <c r="E34" s="116"/>
      <c r="F34" s="116"/>
      <c r="G34" s="11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5.75">
      <c r="A35" s="118"/>
      <c r="B35" s="123" t="s">
        <v>246</v>
      </c>
      <c r="C35" s="93">
        <v>10</v>
      </c>
      <c r="D35" s="93"/>
      <c r="E35" s="118"/>
      <c r="F35" s="118"/>
      <c r="G35" s="11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5.75">
      <c r="A36" s="116"/>
      <c r="B36" s="123" t="s">
        <v>260</v>
      </c>
      <c r="C36" s="93">
        <v>8</v>
      </c>
      <c r="D36" s="58"/>
      <c r="E36" s="58"/>
      <c r="F36" s="58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ht="15.75">
      <c r="A37" s="116"/>
      <c r="B37" s="128" t="s">
        <v>54</v>
      </c>
      <c r="C37" s="58">
        <f>240</f>
        <v>240</v>
      </c>
      <c r="D37" s="58"/>
      <c r="E37" s="58"/>
      <c r="F37" s="58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ht="16.5" thickBot="1">
      <c r="A38" s="116"/>
      <c r="B38" s="117" t="s">
        <v>104</v>
      </c>
      <c r="C38" s="58">
        <v>0.4</v>
      </c>
      <c r="D38" s="58"/>
      <c r="E38" s="58"/>
      <c r="F38" s="58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18" ht="16.5" thickBot="1">
      <c r="A39" s="7" t="s">
        <v>287</v>
      </c>
      <c r="B39" s="8" t="s">
        <v>286</v>
      </c>
      <c r="C39" s="9">
        <v>100</v>
      </c>
      <c r="D39" s="9">
        <f>75.8*0.8</f>
        <v>60.64</v>
      </c>
      <c r="E39" s="79">
        <f>11.5*0.8</f>
        <v>9.2000000000000011</v>
      </c>
      <c r="F39" s="79">
        <f>10.5</f>
        <v>10.5</v>
      </c>
      <c r="G39" s="79">
        <v>9.85</v>
      </c>
      <c r="H39" s="79">
        <f>0.08</f>
        <v>0.08</v>
      </c>
      <c r="I39" s="79">
        <f>2.9</f>
        <v>2.9</v>
      </c>
      <c r="J39" s="79">
        <f>134.7</f>
        <v>134.69999999999999</v>
      </c>
      <c r="K39" s="79">
        <f>0.03*0.8</f>
        <v>2.4E-2</v>
      </c>
      <c r="L39" s="79">
        <f>0.1*0.8</f>
        <v>8.0000000000000016E-2</v>
      </c>
      <c r="M39" s="79">
        <f>22*0.8</f>
        <v>17.600000000000001</v>
      </c>
      <c r="N39" s="79">
        <f>0.33*0.8</f>
        <v>0.26400000000000001</v>
      </c>
      <c r="O39" s="79">
        <f>31.33*0.8</f>
        <v>25.064</v>
      </c>
      <c r="P39" s="79">
        <f>83*0.8</f>
        <v>66.400000000000006</v>
      </c>
      <c r="Q39" s="79">
        <f>12.67*0.8</f>
        <v>10.136000000000001</v>
      </c>
      <c r="R39" s="80">
        <f>7.33*0.8</f>
        <v>5.8640000000000008</v>
      </c>
    </row>
    <row r="40" spans="1:18" ht="15.75">
      <c r="A40" s="3"/>
      <c r="B40" s="87" t="s">
        <v>261</v>
      </c>
      <c r="C40" s="12">
        <f>109*0.8</f>
        <v>87.2</v>
      </c>
      <c r="D40" s="12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.75">
      <c r="A41" s="15"/>
      <c r="B41" s="88" t="s">
        <v>44</v>
      </c>
      <c r="C41" s="18">
        <f>2*0.8</f>
        <v>1.6</v>
      </c>
      <c r="D41" s="18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5.75">
      <c r="A42" s="15"/>
      <c r="B42" s="88" t="s">
        <v>86</v>
      </c>
      <c r="C42" s="18">
        <f>25*0.4</f>
        <v>10</v>
      </c>
      <c r="D42" s="18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5.75">
      <c r="A43" s="5"/>
      <c r="B43" s="89" t="s">
        <v>28</v>
      </c>
      <c r="C43" s="14">
        <f>75/1000*40</f>
        <v>3</v>
      </c>
      <c r="D43" s="1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15.75">
      <c r="A44" s="5"/>
      <c r="B44" s="89" t="s">
        <v>54</v>
      </c>
      <c r="C44" s="14">
        <f>75*0.4</f>
        <v>30</v>
      </c>
      <c r="D44" s="14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ht="16.5" thickBot="1">
      <c r="A45" s="5"/>
      <c r="B45" s="207" t="s">
        <v>51</v>
      </c>
      <c r="C45" s="208">
        <v>0.25</v>
      </c>
      <c r="D45" s="14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ht="16.5" thickBot="1">
      <c r="A46" s="7" t="s">
        <v>288</v>
      </c>
      <c r="B46" s="8" t="s">
        <v>262</v>
      </c>
      <c r="C46" s="9">
        <v>150</v>
      </c>
      <c r="D46" s="9">
        <v>118.4</v>
      </c>
      <c r="E46" s="79">
        <v>3</v>
      </c>
      <c r="F46" s="79"/>
      <c r="G46" s="79">
        <v>0.6</v>
      </c>
      <c r="H46" s="79">
        <v>0.6</v>
      </c>
      <c r="I46" s="79">
        <v>23.7</v>
      </c>
      <c r="J46" s="79">
        <v>112.2</v>
      </c>
      <c r="K46" s="79">
        <v>0.15</v>
      </c>
      <c r="L46" s="79">
        <v>21.75</v>
      </c>
      <c r="M46" s="79"/>
      <c r="N46" s="79">
        <v>0.15</v>
      </c>
      <c r="O46" s="79">
        <v>18</v>
      </c>
      <c r="P46" s="79">
        <v>81</v>
      </c>
      <c r="Q46" s="79">
        <v>33</v>
      </c>
      <c r="R46" s="80">
        <v>1.2</v>
      </c>
    </row>
    <row r="47" spans="1:18" ht="15.75">
      <c r="A47" s="46"/>
      <c r="B47" s="87" t="s">
        <v>48</v>
      </c>
      <c r="C47" s="12">
        <v>145</v>
      </c>
      <c r="D47" s="1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.75">
      <c r="A48" s="47"/>
      <c r="B48" s="88" t="s">
        <v>53</v>
      </c>
      <c r="C48" s="18">
        <f>35/1000*150</f>
        <v>5.2500000000000009</v>
      </c>
      <c r="D48" s="18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16.5" thickBot="1">
      <c r="A49" s="47"/>
      <c r="B49" s="207" t="s">
        <v>51</v>
      </c>
      <c r="C49" s="208">
        <v>0.35</v>
      </c>
      <c r="D49" s="18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6.5" thickBot="1">
      <c r="A50" s="7"/>
      <c r="B50" s="8" t="s">
        <v>227</v>
      </c>
      <c r="C50" s="9">
        <v>200</v>
      </c>
      <c r="D50" s="9">
        <v>161.4</v>
      </c>
      <c r="E50" s="79">
        <v>1</v>
      </c>
      <c r="F50" s="79"/>
      <c r="G50" s="79">
        <v>0.2</v>
      </c>
      <c r="H50" s="79">
        <v>0.2</v>
      </c>
      <c r="I50" s="79">
        <v>20.2</v>
      </c>
      <c r="J50" s="79">
        <v>86.6</v>
      </c>
      <c r="K50" s="79">
        <v>0.02</v>
      </c>
      <c r="L50" s="79">
        <v>4</v>
      </c>
      <c r="M50" s="79"/>
      <c r="N50" s="79">
        <v>0.2</v>
      </c>
      <c r="O50" s="79">
        <v>14</v>
      </c>
      <c r="P50" s="79">
        <v>14</v>
      </c>
      <c r="Q50" s="79">
        <v>8</v>
      </c>
      <c r="R50" s="80">
        <v>2.8</v>
      </c>
    </row>
    <row r="51" spans="1:18" ht="16.5" thickBot="1">
      <c r="A51" s="19"/>
      <c r="B51" s="167" t="s">
        <v>228</v>
      </c>
      <c r="C51" s="21"/>
      <c r="D51" s="2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6.5" thickBot="1">
      <c r="A52" s="23" t="s">
        <v>35</v>
      </c>
      <c r="B52" s="24" t="s">
        <v>36</v>
      </c>
      <c r="C52" s="25">
        <v>40</v>
      </c>
      <c r="D52" s="25">
        <v>15.2</v>
      </c>
      <c r="E52" s="25">
        <v>3.16</v>
      </c>
      <c r="F52" s="25"/>
      <c r="G52" s="25">
        <v>0.4</v>
      </c>
      <c r="H52" s="25">
        <v>0.4</v>
      </c>
      <c r="I52" s="25">
        <v>19.32</v>
      </c>
      <c r="J52" s="25">
        <v>93.52</v>
      </c>
      <c r="K52" s="25">
        <v>0.04</v>
      </c>
      <c r="L52" s="25"/>
      <c r="M52" s="25"/>
      <c r="N52" s="25">
        <v>0.52</v>
      </c>
      <c r="O52" s="25">
        <v>9.1999999999999993</v>
      </c>
      <c r="P52" s="25">
        <v>34.799999999999997</v>
      </c>
      <c r="Q52" s="25">
        <v>13.2</v>
      </c>
      <c r="R52" s="26">
        <v>0.44</v>
      </c>
    </row>
    <row r="53" spans="1:18" ht="16.5" thickBot="1">
      <c r="A53" s="19"/>
      <c r="B53" s="27" t="s">
        <v>37</v>
      </c>
      <c r="C53" s="21">
        <v>40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s="31" customFormat="1" ht="16.5" thickBot="1">
      <c r="A54" s="7"/>
      <c r="B54" s="8" t="s">
        <v>38</v>
      </c>
      <c r="C54" s="28">
        <v>75</v>
      </c>
      <c r="D54" s="28">
        <v>55.8</v>
      </c>
      <c r="E54" s="29">
        <v>1.1299999999999999</v>
      </c>
      <c r="F54" s="29"/>
      <c r="G54" s="29">
        <v>0.38</v>
      </c>
      <c r="H54" s="29">
        <v>0.38</v>
      </c>
      <c r="I54" s="29">
        <v>15.75</v>
      </c>
      <c r="J54" s="29">
        <v>70.88</v>
      </c>
      <c r="K54" s="29">
        <v>0.03</v>
      </c>
      <c r="L54" s="29">
        <v>7.5</v>
      </c>
      <c r="M54" s="29">
        <v>0</v>
      </c>
      <c r="N54" s="29">
        <v>0.3</v>
      </c>
      <c r="O54" s="29">
        <v>6</v>
      </c>
      <c r="P54" s="29">
        <v>21</v>
      </c>
      <c r="Q54" s="29">
        <v>31.5</v>
      </c>
      <c r="R54" s="30">
        <v>0.45</v>
      </c>
    </row>
    <row r="55" spans="1:18" s="35" customFormat="1" ht="16.5" thickBot="1">
      <c r="A55" s="32"/>
      <c r="B55" s="33" t="s">
        <v>39</v>
      </c>
      <c r="C55" s="34">
        <v>75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6.5" thickBot="1">
      <c r="A56" s="64"/>
      <c r="B56" s="65" t="s">
        <v>40</v>
      </c>
      <c r="C56" s="66"/>
      <c r="D56" s="66">
        <f t="shared" ref="D56:R56" si="1">SUM(D25:D55)</f>
        <v>671.65</v>
      </c>
      <c r="E56" s="66">
        <f t="shared" si="1"/>
        <v>26.560000000000002</v>
      </c>
      <c r="F56" s="66">
        <f t="shared" si="1"/>
        <v>15.719999999999999</v>
      </c>
      <c r="G56" s="206">
        <f t="shared" si="1"/>
        <v>23.04</v>
      </c>
      <c r="H56" s="66">
        <f t="shared" si="1"/>
        <v>8.0500000000000007</v>
      </c>
      <c r="I56" s="66">
        <f t="shared" si="1"/>
        <v>98.06</v>
      </c>
      <c r="J56" s="66">
        <f t="shared" si="1"/>
        <v>688.9899999999999</v>
      </c>
      <c r="K56" s="66">
        <f t="shared" si="1"/>
        <v>0.38400000000000001</v>
      </c>
      <c r="L56" s="66">
        <f t="shared" si="1"/>
        <v>57.8</v>
      </c>
      <c r="M56" s="66">
        <f t="shared" si="1"/>
        <v>17.600000000000001</v>
      </c>
      <c r="N56" s="66">
        <f t="shared" si="1"/>
        <v>4.5739999999999998</v>
      </c>
      <c r="O56" s="66">
        <f t="shared" si="1"/>
        <v>183.274</v>
      </c>
      <c r="P56" s="66">
        <f t="shared" si="1"/>
        <v>374.64000000000004</v>
      </c>
      <c r="Q56" s="66">
        <f t="shared" si="1"/>
        <v>156.01600000000002</v>
      </c>
      <c r="R56" s="66">
        <f t="shared" si="1"/>
        <v>12.523999999999999</v>
      </c>
    </row>
    <row r="57" spans="1:18" ht="16.5" thickBot="1">
      <c r="A57" s="67"/>
      <c r="B57" s="68" t="s">
        <v>57</v>
      </c>
      <c r="C57" s="69"/>
      <c r="D57" s="69">
        <f t="shared" ref="D57:R57" si="2">D56+D23</f>
        <v>952.25</v>
      </c>
      <c r="E57" s="69">
        <f t="shared" si="2"/>
        <v>43.940000000000005</v>
      </c>
      <c r="F57" s="69">
        <f t="shared" si="2"/>
        <v>25.119999999999997</v>
      </c>
      <c r="G57" s="69">
        <f t="shared" si="2"/>
        <v>37.93</v>
      </c>
      <c r="H57" s="69">
        <f t="shared" si="2"/>
        <v>10.25</v>
      </c>
      <c r="I57" s="69">
        <f t="shared" si="2"/>
        <v>175.81</v>
      </c>
      <c r="J57" s="69">
        <f t="shared" si="2"/>
        <v>1203.94</v>
      </c>
      <c r="K57" s="69">
        <f t="shared" si="2"/>
        <v>0.51400000000000001</v>
      </c>
      <c r="L57" s="69">
        <f t="shared" si="2"/>
        <v>66.489999999999995</v>
      </c>
      <c r="M57" s="69">
        <f t="shared" si="2"/>
        <v>17.66</v>
      </c>
      <c r="N57" s="69">
        <f t="shared" si="2"/>
        <v>5.444</v>
      </c>
      <c r="O57" s="69">
        <f t="shared" si="2"/>
        <v>354.81399999999996</v>
      </c>
      <c r="P57" s="69">
        <f t="shared" si="2"/>
        <v>648.76</v>
      </c>
      <c r="Q57" s="69">
        <f t="shared" si="2"/>
        <v>230.66600000000003</v>
      </c>
      <c r="R57" s="69">
        <f t="shared" si="2"/>
        <v>16.213999999999999</v>
      </c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</sheetData>
  <mergeCells count="15">
    <mergeCell ref="B3:Q3"/>
    <mergeCell ref="B4:Q4"/>
    <mergeCell ref="B24:Q24"/>
    <mergeCell ref="G1:G2"/>
    <mergeCell ref="H1:H2"/>
    <mergeCell ref="I1:I2"/>
    <mergeCell ref="J1:J2"/>
    <mergeCell ref="K1:N1"/>
    <mergeCell ref="O1:R1"/>
    <mergeCell ref="F1:F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view="pageBreakPreview" topLeftCell="A2" zoomScale="60" zoomScaleNormal="100" workbookViewId="0">
      <pane xSplit="1" ySplit="1" topLeftCell="B24" activePane="bottomRight" state="frozen"/>
      <selection activeCell="A2" sqref="A2"/>
      <selection pane="topRight" activeCell="B2" sqref="B2"/>
      <selection pane="bottomLeft" activeCell="A3" sqref="A3"/>
      <selection pane="bottomRight" activeCell="A47" sqref="A47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</cols>
  <sheetData>
    <row r="1" spans="1:18" ht="15.75">
      <c r="A1" s="232" t="s">
        <v>0</v>
      </c>
      <c r="B1" s="233" t="s">
        <v>1</v>
      </c>
      <c r="C1" s="234" t="s">
        <v>2</v>
      </c>
      <c r="D1" s="235" t="s">
        <v>3</v>
      </c>
      <c r="E1" s="234" t="s">
        <v>4</v>
      </c>
      <c r="F1" s="250" t="s">
        <v>5</v>
      </c>
      <c r="G1" s="234" t="s">
        <v>6</v>
      </c>
      <c r="H1" s="250" t="s">
        <v>7</v>
      </c>
      <c r="I1" s="234" t="s">
        <v>8</v>
      </c>
      <c r="J1" s="234" t="s">
        <v>9</v>
      </c>
      <c r="K1" s="237" t="s">
        <v>10</v>
      </c>
      <c r="L1" s="237"/>
      <c r="M1" s="237"/>
      <c r="N1" s="237"/>
      <c r="O1" s="237" t="s">
        <v>11</v>
      </c>
      <c r="P1" s="237"/>
      <c r="Q1" s="237"/>
      <c r="R1" s="237"/>
    </row>
    <row r="2" spans="1:18" ht="72" customHeight="1">
      <c r="A2" s="232"/>
      <c r="B2" s="233"/>
      <c r="C2" s="234"/>
      <c r="D2" s="236"/>
      <c r="E2" s="234"/>
      <c r="F2" s="251"/>
      <c r="G2" s="234"/>
      <c r="H2" s="251"/>
      <c r="I2" s="234"/>
      <c r="J2" s="234"/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</row>
    <row r="3" spans="1:18" ht="15.75">
      <c r="A3" s="3"/>
      <c r="B3" s="248" t="s">
        <v>20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4"/>
    </row>
    <row r="4" spans="1:18" ht="16.5" thickBot="1">
      <c r="A4" s="5"/>
      <c r="B4" s="247" t="s">
        <v>21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6"/>
    </row>
    <row r="5" spans="1:18" ht="16.5" thickBot="1">
      <c r="A5" s="7" t="s">
        <v>290</v>
      </c>
      <c r="B5" s="8" t="s">
        <v>289</v>
      </c>
      <c r="C5" s="9">
        <v>45</v>
      </c>
      <c r="D5" s="9">
        <f>35.9/50*45</f>
        <v>32.31</v>
      </c>
      <c r="E5" s="9">
        <v>4.2300000000000004</v>
      </c>
      <c r="F5" s="9">
        <v>4.2300000000000004</v>
      </c>
      <c r="G5" s="9">
        <v>6.75</v>
      </c>
      <c r="H5" s="9"/>
      <c r="I5" s="9">
        <v>0.61</v>
      </c>
      <c r="J5" s="9">
        <v>94.18</v>
      </c>
      <c r="K5" s="9">
        <v>0</v>
      </c>
      <c r="L5" s="9">
        <v>0</v>
      </c>
      <c r="M5" s="9">
        <v>0</v>
      </c>
      <c r="N5" s="9">
        <v>0.3</v>
      </c>
      <c r="O5" s="9">
        <v>9.6</v>
      </c>
      <c r="P5" s="9">
        <v>49.3</v>
      </c>
      <c r="Q5" s="9">
        <v>5.3</v>
      </c>
      <c r="R5" s="10">
        <v>0.6</v>
      </c>
    </row>
    <row r="6" spans="1:18" ht="16.5" thickBot="1">
      <c r="A6" s="3"/>
      <c r="B6" s="87" t="s">
        <v>22</v>
      </c>
      <c r="C6" s="12">
        <v>40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6.5" thickBot="1">
      <c r="A7" s="5"/>
      <c r="B7" s="89" t="s">
        <v>23</v>
      </c>
      <c r="C7" s="14">
        <v>4.5</v>
      </c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6.5" thickBot="1">
      <c r="A8" s="7" t="s">
        <v>292</v>
      </c>
      <c r="B8" s="8" t="s">
        <v>291</v>
      </c>
      <c r="C8" s="9">
        <v>150</v>
      </c>
      <c r="D8" s="9">
        <v>92.5</v>
      </c>
      <c r="E8" s="9">
        <f>2.12*1.5</f>
        <v>3.18</v>
      </c>
      <c r="F8" s="9">
        <v>0.18</v>
      </c>
      <c r="G8" s="9">
        <f>4.48*1.5</f>
        <v>6.7200000000000006</v>
      </c>
      <c r="H8" s="9">
        <v>0.17</v>
      </c>
      <c r="I8" s="9">
        <v>7</v>
      </c>
      <c r="J8" s="9">
        <f>79.8*1.5</f>
        <v>119.69999999999999</v>
      </c>
      <c r="K8" s="9">
        <f>0.03*1.5</f>
        <v>4.4999999999999998E-2</v>
      </c>
      <c r="L8" s="9">
        <f>11.3*1.5</f>
        <v>16.950000000000003</v>
      </c>
      <c r="M8" s="9"/>
      <c r="N8" s="9">
        <v>0</v>
      </c>
      <c r="O8" s="9">
        <f>59.3*1.5</f>
        <v>88.949999999999989</v>
      </c>
      <c r="P8" s="9">
        <f>46.64*1.5</f>
        <v>69.960000000000008</v>
      </c>
      <c r="Q8" s="9">
        <f>24.13*1.5</f>
        <v>36.195</v>
      </c>
      <c r="R8" s="10">
        <f>0.84*1.5</f>
        <v>1.26</v>
      </c>
    </row>
    <row r="9" spans="1:18" ht="15.75">
      <c r="A9" s="3"/>
      <c r="B9" s="87" t="s">
        <v>24</v>
      </c>
      <c r="C9" s="12">
        <v>186</v>
      </c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.75">
      <c r="A10" s="3"/>
      <c r="B10" s="87" t="s">
        <v>23</v>
      </c>
      <c r="C10" s="12">
        <f>35/1000*150</f>
        <v>5.2500000000000009</v>
      </c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.75">
      <c r="A11" s="3"/>
      <c r="B11" s="87" t="s">
        <v>25</v>
      </c>
      <c r="C11" s="12">
        <f>25/1000*150</f>
        <v>3.75</v>
      </c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.75">
      <c r="A12" s="15"/>
      <c r="B12" s="88" t="s">
        <v>26</v>
      </c>
      <c r="C12" s="18">
        <f>48/1000*150</f>
        <v>7.2</v>
      </c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5.75">
      <c r="A13" s="5"/>
      <c r="B13" s="89" t="s">
        <v>27</v>
      </c>
      <c r="C13" s="14">
        <f>60/1000*150</f>
        <v>9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6.5" thickBot="1">
      <c r="A14" s="5"/>
      <c r="B14" s="89" t="s">
        <v>28</v>
      </c>
      <c r="C14" s="14">
        <f>12/1000*150</f>
        <v>1.8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6.5" thickBot="1">
      <c r="A15" s="7" t="s">
        <v>293</v>
      </c>
      <c r="B15" s="8" t="s">
        <v>30</v>
      </c>
      <c r="C15" s="9">
        <v>40</v>
      </c>
      <c r="D15" s="9">
        <v>29.6</v>
      </c>
      <c r="E15" s="9">
        <v>5.08</v>
      </c>
      <c r="F15" s="9">
        <v>5.08</v>
      </c>
      <c r="G15" s="9">
        <v>4.5999999999999996</v>
      </c>
      <c r="H15" s="9"/>
      <c r="I15" s="9">
        <v>0.4</v>
      </c>
      <c r="J15" s="9">
        <v>62.84</v>
      </c>
      <c r="K15" s="9">
        <v>0.03</v>
      </c>
      <c r="L15" s="9">
        <v>0</v>
      </c>
      <c r="M15" s="9">
        <v>100</v>
      </c>
      <c r="N15" s="9">
        <v>0.24</v>
      </c>
      <c r="O15" s="9">
        <v>22</v>
      </c>
      <c r="P15" s="9">
        <v>76.8</v>
      </c>
      <c r="Q15" s="9">
        <v>4.8</v>
      </c>
      <c r="R15" s="10">
        <v>1</v>
      </c>
    </row>
    <row r="16" spans="1:18" ht="16.5" thickBot="1">
      <c r="A16" s="19"/>
      <c r="B16" s="27" t="s">
        <v>31</v>
      </c>
      <c r="C16" s="132" t="s">
        <v>32</v>
      </c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6.5" thickBot="1">
      <c r="A17" s="7" t="s">
        <v>271</v>
      </c>
      <c r="B17" s="8" t="s">
        <v>33</v>
      </c>
      <c r="C17" s="9">
        <v>200</v>
      </c>
      <c r="D17" s="9">
        <v>199.1</v>
      </c>
      <c r="E17" s="9">
        <v>0.53</v>
      </c>
      <c r="F17" s="9"/>
      <c r="G17" s="9">
        <v>0</v>
      </c>
      <c r="H17" s="9"/>
      <c r="I17" s="9">
        <v>9.4700000000000006</v>
      </c>
      <c r="J17" s="9">
        <v>40</v>
      </c>
      <c r="K17" s="9">
        <v>0</v>
      </c>
      <c r="L17" s="9">
        <v>0.27</v>
      </c>
      <c r="M17" s="9">
        <v>0</v>
      </c>
      <c r="N17" s="9"/>
      <c r="O17" s="9">
        <v>13.6</v>
      </c>
      <c r="P17" s="9">
        <v>22.13</v>
      </c>
      <c r="Q17" s="9">
        <v>11.73</v>
      </c>
      <c r="R17" s="10">
        <v>2.13</v>
      </c>
    </row>
    <row r="18" spans="1:18" ht="15.75">
      <c r="A18" s="19"/>
      <c r="B18" s="27" t="s">
        <v>34</v>
      </c>
      <c r="C18" s="21">
        <v>0.44</v>
      </c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6.5" thickBot="1">
      <c r="A19" s="5"/>
      <c r="B19" s="89" t="s">
        <v>29</v>
      </c>
      <c r="C19" s="14">
        <v>13</v>
      </c>
      <c r="D19" s="2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6.5" thickBot="1">
      <c r="A20" s="23" t="s">
        <v>35</v>
      </c>
      <c r="B20" s="24" t="s">
        <v>110</v>
      </c>
      <c r="C20" s="25">
        <v>20</v>
      </c>
      <c r="D20" s="25"/>
      <c r="E20" s="25">
        <v>1.2</v>
      </c>
      <c r="F20" s="25"/>
      <c r="G20" s="25">
        <v>1.8</v>
      </c>
      <c r="H20" s="25"/>
      <c r="I20" s="25">
        <v>13.6</v>
      </c>
      <c r="J20" s="25">
        <v>86</v>
      </c>
      <c r="K20" s="25">
        <f>0.08/100*20</f>
        <v>1.6E-2</v>
      </c>
      <c r="L20" s="25">
        <v>0</v>
      </c>
      <c r="M20" s="25">
        <v>2.2000000000000002</v>
      </c>
      <c r="N20" s="25">
        <f>3.5/100*20</f>
        <v>0.70000000000000007</v>
      </c>
      <c r="O20" s="25"/>
      <c r="P20" s="25">
        <f>1.9/100*20</f>
        <v>0.38</v>
      </c>
      <c r="Q20" s="25"/>
      <c r="R20" s="26"/>
    </row>
    <row r="21" spans="1:18" ht="16.5" thickBot="1">
      <c r="A21" s="19"/>
      <c r="B21" s="27" t="s">
        <v>110</v>
      </c>
      <c r="C21" s="21">
        <v>20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6.5" thickBot="1">
      <c r="A22" s="23" t="s">
        <v>35</v>
      </c>
      <c r="B22" s="24" t="s">
        <v>36</v>
      </c>
      <c r="C22" s="25">
        <v>40</v>
      </c>
      <c r="D22" s="25">
        <v>15.2</v>
      </c>
      <c r="E22" s="25">
        <v>3.16</v>
      </c>
      <c r="F22" s="25"/>
      <c r="G22" s="25">
        <v>0.4</v>
      </c>
      <c r="H22" s="25">
        <v>0.4</v>
      </c>
      <c r="I22" s="25">
        <v>19.32</v>
      </c>
      <c r="J22" s="25">
        <v>93.52</v>
      </c>
      <c r="K22" s="25">
        <v>0.04</v>
      </c>
      <c r="L22" s="25"/>
      <c r="M22" s="25"/>
      <c r="N22" s="25">
        <v>0.52</v>
      </c>
      <c r="O22" s="25">
        <v>9.1999999999999993</v>
      </c>
      <c r="P22" s="25">
        <v>34.799999999999997</v>
      </c>
      <c r="Q22" s="25">
        <v>13.2</v>
      </c>
      <c r="R22" s="26">
        <v>0.44</v>
      </c>
    </row>
    <row r="23" spans="1:18" ht="16.5" thickBot="1">
      <c r="A23" s="19"/>
      <c r="B23" s="27" t="s">
        <v>37</v>
      </c>
      <c r="C23" s="21">
        <v>40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31" customFormat="1" ht="16.5" thickBot="1">
      <c r="A24" s="7"/>
      <c r="B24" s="8" t="s">
        <v>38</v>
      </c>
      <c r="C24" s="28">
        <v>75</v>
      </c>
      <c r="D24" s="28">
        <v>55.8</v>
      </c>
      <c r="E24" s="29">
        <v>1.1299999999999999</v>
      </c>
      <c r="F24" s="29"/>
      <c r="G24" s="29">
        <v>0.38</v>
      </c>
      <c r="H24" s="29">
        <v>0.38</v>
      </c>
      <c r="I24" s="29">
        <v>15.75</v>
      </c>
      <c r="J24" s="29">
        <v>70.88</v>
      </c>
      <c r="K24" s="29">
        <v>0.03</v>
      </c>
      <c r="L24" s="29">
        <v>7.5</v>
      </c>
      <c r="M24" s="29">
        <v>0</v>
      </c>
      <c r="N24" s="29">
        <v>0.3</v>
      </c>
      <c r="O24" s="29">
        <v>6</v>
      </c>
      <c r="P24" s="29">
        <v>21</v>
      </c>
      <c r="Q24" s="29">
        <v>31.5</v>
      </c>
      <c r="R24" s="30">
        <v>0.45</v>
      </c>
    </row>
    <row r="25" spans="1:18" s="35" customFormat="1" ht="16.5" thickBot="1">
      <c r="A25" s="32"/>
      <c r="B25" s="33" t="s">
        <v>39</v>
      </c>
      <c r="C25" s="34">
        <v>75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6.5" thickBot="1">
      <c r="A26" s="36"/>
      <c r="B26" s="37" t="s">
        <v>40</v>
      </c>
      <c r="C26" s="38"/>
      <c r="D26" s="38">
        <f t="shared" ref="D26:R26" si="0">SUM(D5:D25)</f>
        <v>424.51</v>
      </c>
      <c r="E26" s="38">
        <f t="shared" si="0"/>
        <v>18.509999999999998</v>
      </c>
      <c r="F26" s="38">
        <f t="shared" si="0"/>
        <v>9.49</v>
      </c>
      <c r="G26" s="38">
        <f t="shared" si="0"/>
        <v>20.65</v>
      </c>
      <c r="H26" s="38">
        <f t="shared" si="0"/>
        <v>0.95000000000000007</v>
      </c>
      <c r="I26" s="122">
        <f t="shared" si="0"/>
        <v>66.150000000000006</v>
      </c>
      <c r="J26" s="122">
        <f t="shared" si="0"/>
        <v>567.12</v>
      </c>
      <c r="K26" s="38">
        <f t="shared" si="0"/>
        <v>0.161</v>
      </c>
      <c r="L26" s="38">
        <f t="shared" si="0"/>
        <v>24.720000000000002</v>
      </c>
      <c r="M26" s="38">
        <f t="shared" si="0"/>
        <v>102.2</v>
      </c>
      <c r="N26" s="38">
        <f t="shared" si="0"/>
        <v>2.06</v>
      </c>
      <c r="O26" s="38">
        <f t="shared" si="0"/>
        <v>149.34999999999997</v>
      </c>
      <c r="P26" s="38">
        <f t="shared" si="0"/>
        <v>274.37</v>
      </c>
      <c r="Q26" s="38">
        <f t="shared" si="0"/>
        <v>102.72499999999999</v>
      </c>
      <c r="R26" s="38">
        <f t="shared" si="0"/>
        <v>5.8800000000000008</v>
      </c>
    </row>
    <row r="27" spans="1:18" ht="15.75">
      <c r="A27" s="3"/>
      <c r="B27" s="249" t="s">
        <v>41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</row>
    <row r="28" spans="1:18" ht="15.75">
      <c r="A28" s="41" t="s">
        <v>283</v>
      </c>
      <c r="B28" s="42" t="s">
        <v>42</v>
      </c>
      <c r="C28" s="43">
        <v>100</v>
      </c>
      <c r="D28" s="43">
        <v>90.3</v>
      </c>
      <c r="E28" s="43">
        <v>0.67</v>
      </c>
      <c r="F28" s="43"/>
      <c r="G28" s="43">
        <v>6.09</v>
      </c>
      <c r="H28" s="43">
        <v>6.09</v>
      </c>
      <c r="I28" s="43">
        <v>1.81</v>
      </c>
      <c r="J28" s="43">
        <v>64.650000000000006</v>
      </c>
      <c r="K28" s="43">
        <v>0.03</v>
      </c>
      <c r="L28" s="43">
        <v>6.65</v>
      </c>
      <c r="M28" s="43"/>
      <c r="N28" s="43">
        <v>2.74</v>
      </c>
      <c r="O28" s="43">
        <v>16.149999999999999</v>
      </c>
      <c r="P28" s="43">
        <v>28.62</v>
      </c>
      <c r="Q28" s="43">
        <v>13.3</v>
      </c>
      <c r="R28" s="43">
        <v>0.48</v>
      </c>
    </row>
    <row r="29" spans="1:18" ht="15.75">
      <c r="A29" s="15"/>
      <c r="B29" s="88" t="s">
        <v>43</v>
      </c>
      <c r="C29" s="1">
        <f>1188/1000*100</f>
        <v>118.8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6.5" thickBot="1">
      <c r="A30" s="15"/>
      <c r="B30" s="88" t="s">
        <v>44</v>
      </c>
      <c r="C30" s="1">
        <v>2.5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5" thickBot="1">
      <c r="A31" s="23" t="s">
        <v>294</v>
      </c>
      <c r="B31" s="24" t="s">
        <v>45</v>
      </c>
      <c r="C31" s="25">
        <v>250</v>
      </c>
      <c r="D31" s="25">
        <v>227.7</v>
      </c>
      <c r="E31" s="44">
        <v>1.83</v>
      </c>
      <c r="F31" s="44"/>
      <c r="G31" s="44">
        <v>4.9000000000000004</v>
      </c>
      <c r="H31" s="44">
        <v>4.9000000000000004</v>
      </c>
      <c r="I31" s="44">
        <v>11.75</v>
      </c>
      <c r="J31" s="44">
        <v>98.4</v>
      </c>
      <c r="K31" s="44">
        <v>0.05</v>
      </c>
      <c r="L31" s="44">
        <v>10.3</v>
      </c>
      <c r="M31" s="44"/>
      <c r="N31" s="44">
        <v>2.4</v>
      </c>
      <c r="O31" s="44">
        <v>34.450000000000003</v>
      </c>
      <c r="P31" s="44">
        <v>53.03</v>
      </c>
      <c r="Q31" s="44">
        <v>26.2</v>
      </c>
      <c r="R31" s="45">
        <v>1.18</v>
      </c>
    </row>
    <row r="32" spans="1:18" ht="15.75">
      <c r="A32" s="3"/>
      <c r="B32" s="125" t="s">
        <v>46</v>
      </c>
      <c r="C32" s="12">
        <f>200/4</f>
        <v>50</v>
      </c>
      <c r="D32" s="1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.75">
      <c r="A33" s="3"/>
      <c r="B33" s="125" t="s">
        <v>47</v>
      </c>
      <c r="C33" s="12">
        <f>100/4</f>
        <v>25</v>
      </c>
      <c r="D33" s="1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.75">
      <c r="A34" s="3"/>
      <c r="B34" s="125" t="s">
        <v>48</v>
      </c>
      <c r="C34" s="12">
        <f>107/4</f>
        <v>26.75</v>
      </c>
      <c r="D34" s="12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.75">
      <c r="A35" s="3"/>
      <c r="B35" s="125" t="s">
        <v>25</v>
      </c>
      <c r="C35" s="12">
        <f>50/4</f>
        <v>12.5</v>
      </c>
      <c r="D35" s="12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.75">
      <c r="A36" s="15"/>
      <c r="B36" s="126" t="s">
        <v>49</v>
      </c>
      <c r="C36" s="18">
        <v>12</v>
      </c>
      <c r="D36" s="1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5.75">
      <c r="A37" s="15"/>
      <c r="B37" s="126" t="s">
        <v>27</v>
      </c>
      <c r="C37" s="18">
        <f>30/4</f>
        <v>7.5</v>
      </c>
      <c r="D37" s="18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5.75">
      <c r="A38" s="5"/>
      <c r="B38" s="127" t="s">
        <v>44</v>
      </c>
      <c r="C38" s="14">
        <v>2.5</v>
      </c>
      <c r="D38" s="1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6.5" thickBot="1">
      <c r="A39" s="5"/>
      <c r="B39" s="127" t="s">
        <v>50</v>
      </c>
      <c r="C39" s="14">
        <v>200</v>
      </c>
      <c r="D39" s="14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6.5" thickBot="1">
      <c r="A40" s="7" t="s">
        <v>297</v>
      </c>
      <c r="B40" s="8" t="s">
        <v>295</v>
      </c>
      <c r="C40" s="9">
        <v>200</v>
      </c>
      <c r="D40" s="49">
        <v>159.19999999999999</v>
      </c>
      <c r="E40" s="49">
        <f>8.49*2</f>
        <v>16.98</v>
      </c>
      <c r="F40" s="49">
        <v>11.25</v>
      </c>
      <c r="G40" s="49">
        <f>8.35*2</f>
        <v>16.7</v>
      </c>
      <c r="H40" s="49">
        <v>1.55</v>
      </c>
      <c r="I40" s="49">
        <v>30.94</v>
      </c>
      <c r="J40" s="49">
        <v>292.36</v>
      </c>
      <c r="K40" s="49">
        <v>0.13</v>
      </c>
      <c r="L40" s="49">
        <v>0.13</v>
      </c>
      <c r="M40" s="49">
        <v>56.25</v>
      </c>
      <c r="N40" s="49">
        <v>0.84</v>
      </c>
      <c r="O40" s="49">
        <v>67.78</v>
      </c>
      <c r="P40" s="49">
        <v>198.28</v>
      </c>
      <c r="Q40" s="49">
        <v>52.59</v>
      </c>
      <c r="R40" s="50">
        <v>2.25</v>
      </c>
    </row>
    <row r="41" spans="1:18" ht="15.75">
      <c r="A41" s="51"/>
      <c r="B41" s="115" t="s">
        <v>296</v>
      </c>
      <c r="C41" s="91">
        <f>41.5*2</f>
        <v>83</v>
      </c>
      <c r="D41" s="52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ht="15.75">
      <c r="A42" s="53"/>
      <c r="B42" s="117" t="s">
        <v>44</v>
      </c>
      <c r="C42" s="58">
        <v>2</v>
      </c>
      <c r="D42" s="54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18" ht="15.75">
      <c r="A43" s="53"/>
      <c r="B43" s="117" t="s">
        <v>48</v>
      </c>
      <c r="C43" s="58">
        <v>146</v>
      </c>
      <c r="D43" s="54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5.75">
      <c r="A44" s="3"/>
      <c r="B44" s="87" t="s">
        <v>49</v>
      </c>
      <c r="C44" s="12">
        <v>12</v>
      </c>
      <c r="D44" s="12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.75">
      <c r="A45" s="15"/>
      <c r="B45" s="88" t="s">
        <v>52</v>
      </c>
      <c r="C45" s="18">
        <v>2.8</v>
      </c>
      <c r="D45" s="18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6.5" thickBot="1">
      <c r="A46" s="55"/>
      <c r="B46" s="130" t="s">
        <v>53</v>
      </c>
      <c r="C46" s="61">
        <v>7</v>
      </c>
      <c r="D46" s="21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</row>
    <row r="47" spans="1:18" ht="16.5" thickBot="1">
      <c r="A47" s="23" t="s">
        <v>298</v>
      </c>
      <c r="B47" s="24" t="s">
        <v>281</v>
      </c>
      <c r="C47" s="25">
        <v>200</v>
      </c>
      <c r="D47" s="25">
        <v>146.80000000000001</v>
      </c>
      <c r="E47" s="44">
        <v>1.1599999999999999</v>
      </c>
      <c r="F47" s="44"/>
      <c r="G47" s="44">
        <v>0.3</v>
      </c>
      <c r="H47" s="44">
        <v>0.3</v>
      </c>
      <c r="I47" s="44">
        <v>47.26</v>
      </c>
      <c r="J47" s="44">
        <v>196.38</v>
      </c>
      <c r="K47" s="44">
        <v>0.02</v>
      </c>
      <c r="L47" s="44">
        <v>0.8</v>
      </c>
      <c r="M47" s="44"/>
      <c r="N47" s="44">
        <v>0.2</v>
      </c>
      <c r="O47" s="44">
        <v>5.84</v>
      </c>
      <c r="P47" s="44">
        <v>46</v>
      </c>
      <c r="Q47" s="44">
        <v>33</v>
      </c>
      <c r="R47" s="45">
        <v>0.96</v>
      </c>
    </row>
    <row r="48" spans="1:18" ht="15.75">
      <c r="A48" s="46"/>
      <c r="B48" s="87" t="s">
        <v>264</v>
      </c>
      <c r="C48" s="12">
        <f>100/1000*200</f>
        <v>20</v>
      </c>
      <c r="D48" s="1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.75">
      <c r="A49" s="47"/>
      <c r="B49" s="88" t="s">
        <v>29</v>
      </c>
      <c r="C49" s="18">
        <v>16</v>
      </c>
      <c r="D49" s="18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5.75">
      <c r="A50" s="48"/>
      <c r="B50" s="89" t="s">
        <v>55</v>
      </c>
      <c r="C50" s="14">
        <f>1/1000*200</f>
        <v>0.2</v>
      </c>
      <c r="D50" s="14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spans="1:18" ht="16.5" thickBot="1">
      <c r="A51" s="48"/>
      <c r="B51" s="89" t="s">
        <v>54</v>
      </c>
      <c r="C51" s="14">
        <v>200</v>
      </c>
      <c r="D51" s="14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16.5" thickBot="1">
      <c r="A52" s="23" t="s">
        <v>35</v>
      </c>
      <c r="B52" s="24" t="s">
        <v>36</v>
      </c>
      <c r="C52" s="25">
        <v>40</v>
      </c>
      <c r="D52" s="25">
        <v>15.2</v>
      </c>
      <c r="E52" s="25">
        <v>3.16</v>
      </c>
      <c r="F52" s="25"/>
      <c r="G52" s="25">
        <v>0.4</v>
      </c>
      <c r="H52" s="25">
        <v>0.4</v>
      </c>
      <c r="I52" s="25">
        <v>19.32</v>
      </c>
      <c r="J52" s="25">
        <v>93.52</v>
      </c>
      <c r="K52" s="25">
        <v>0.04</v>
      </c>
      <c r="L52" s="25"/>
      <c r="M52" s="25"/>
      <c r="N52" s="25">
        <v>0.52</v>
      </c>
      <c r="O52" s="25">
        <v>9.1999999999999993</v>
      </c>
      <c r="P52" s="25">
        <v>34.799999999999997</v>
      </c>
      <c r="Q52" s="25">
        <v>13.2</v>
      </c>
      <c r="R52" s="26">
        <v>0.44</v>
      </c>
    </row>
    <row r="53" spans="1:18" ht="16.5" thickBot="1">
      <c r="A53" s="19"/>
      <c r="B53" s="27" t="s">
        <v>37</v>
      </c>
      <c r="C53" s="21">
        <v>40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6.5" thickBot="1">
      <c r="A54" s="7"/>
      <c r="B54" s="62" t="s">
        <v>38</v>
      </c>
      <c r="C54" s="59">
        <v>75</v>
      </c>
      <c r="D54" s="59">
        <v>65.5</v>
      </c>
      <c r="E54" s="59">
        <v>0.3</v>
      </c>
      <c r="F54" s="59"/>
      <c r="G54" s="59">
        <v>0.3</v>
      </c>
      <c r="H54" s="59">
        <v>0.3</v>
      </c>
      <c r="I54" s="59">
        <v>7.35</v>
      </c>
      <c r="J54" s="59">
        <v>33.299999999999997</v>
      </c>
      <c r="K54" s="59">
        <v>0.02</v>
      </c>
      <c r="L54" s="59">
        <v>7.5</v>
      </c>
      <c r="M54" s="59"/>
      <c r="N54" s="59">
        <v>0.15</v>
      </c>
      <c r="O54" s="59">
        <v>12</v>
      </c>
      <c r="P54" s="59">
        <v>8.25</v>
      </c>
      <c r="Q54" s="59">
        <v>6.75</v>
      </c>
      <c r="R54" s="60">
        <v>1.65</v>
      </c>
    </row>
    <row r="55" spans="1:18" ht="16.5" thickBot="1">
      <c r="A55" s="55"/>
      <c r="B55" s="27" t="s">
        <v>56</v>
      </c>
      <c r="C55" s="21">
        <v>75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63"/>
    </row>
    <row r="56" spans="1:18" ht="16.5" thickBot="1">
      <c r="A56" s="64"/>
      <c r="B56" s="65" t="s">
        <v>40</v>
      </c>
      <c r="C56" s="66"/>
      <c r="D56" s="66">
        <f t="shared" ref="D56:R56" si="1">SUM(D28:D55)</f>
        <v>704.7</v>
      </c>
      <c r="E56" s="66">
        <f t="shared" si="1"/>
        <v>24.1</v>
      </c>
      <c r="F56" s="66">
        <f t="shared" si="1"/>
        <v>11.25</v>
      </c>
      <c r="G56" s="66">
        <f t="shared" si="1"/>
        <v>28.689999999999998</v>
      </c>
      <c r="H56" s="66">
        <f t="shared" si="1"/>
        <v>13.540000000000003</v>
      </c>
      <c r="I56" s="66">
        <f t="shared" si="1"/>
        <v>118.42999999999998</v>
      </c>
      <c r="J56" s="66">
        <f t="shared" si="1"/>
        <v>778.6099999999999</v>
      </c>
      <c r="K56" s="66">
        <f t="shared" si="1"/>
        <v>0.29000000000000004</v>
      </c>
      <c r="L56" s="66">
        <f t="shared" si="1"/>
        <v>25.380000000000003</v>
      </c>
      <c r="M56" s="66">
        <f t="shared" si="1"/>
        <v>56.25</v>
      </c>
      <c r="N56" s="66">
        <f t="shared" si="1"/>
        <v>6.8500000000000014</v>
      </c>
      <c r="O56" s="66">
        <f t="shared" si="1"/>
        <v>145.41999999999999</v>
      </c>
      <c r="P56" s="66">
        <f t="shared" si="1"/>
        <v>368.98</v>
      </c>
      <c r="Q56" s="66">
        <f t="shared" si="1"/>
        <v>145.04</v>
      </c>
      <c r="R56" s="66">
        <f t="shared" si="1"/>
        <v>6.9600000000000009</v>
      </c>
    </row>
    <row r="57" spans="1:18" ht="16.5" thickBot="1">
      <c r="A57" s="67"/>
      <c r="B57" s="68" t="s">
        <v>57</v>
      </c>
      <c r="C57" s="69"/>
      <c r="D57" s="69">
        <f t="shared" ref="D57:R57" si="2">D56+D26</f>
        <v>1129.21</v>
      </c>
      <c r="E57" s="69">
        <f t="shared" si="2"/>
        <v>42.61</v>
      </c>
      <c r="F57" s="69">
        <f t="shared" si="2"/>
        <v>20.740000000000002</v>
      </c>
      <c r="G57" s="69">
        <f t="shared" si="2"/>
        <v>49.339999999999996</v>
      </c>
      <c r="H57" s="69">
        <f t="shared" si="2"/>
        <v>14.490000000000002</v>
      </c>
      <c r="I57" s="69">
        <f t="shared" si="2"/>
        <v>184.57999999999998</v>
      </c>
      <c r="J57" s="69">
        <f t="shared" si="2"/>
        <v>1345.73</v>
      </c>
      <c r="K57" s="69">
        <f t="shared" si="2"/>
        <v>0.45100000000000007</v>
      </c>
      <c r="L57" s="69">
        <f t="shared" si="2"/>
        <v>50.100000000000009</v>
      </c>
      <c r="M57" s="69">
        <f t="shared" si="2"/>
        <v>158.44999999999999</v>
      </c>
      <c r="N57" s="69">
        <f t="shared" si="2"/>
        <v>8.9100000000000019</v>
      </c>
      <c r="O57" s="69">
        <f t="shared" si="2"/>
        <v>294.77</v>
      </c>
      <c r="P57" s="69">
        <f t="shared" si="2"/>
        <v>643.35</v>
      </c>
      <c r="Q57" s="69">
        <f t="shared" si="2"/>
        <v>247.76499999999999</v>
      </c>
      <c r="R57" s="69">
        <f t="shared" si="2"/>
        <v>12.840000000000002</v>
      </c>
    </row>
    <row r="59" spans="1:18" ht="15.75">
      <c r="B59" s="16"/>
      <c r="C59" s="1" t="s">
        <v>58</v>
      </c>
      <c r="D59" s="1"/>
      <c r="E59" s="1" t="s">
        <v>59</v>
      </c>
      <c r="F59" s="1"/>
      <c r="G59" s="1" t="s">
        <v>60</v>
      </c>
      <c r="H59" s="1"/>
      <c r="I59" s="1" t="s">
        <v>61</v>
      </c>
      <c r="J59" s="1" t="s">
        <v>62</v>
      </c>
      <c r="K59" s="70" t="s">
        <v>63</v>
      </c>
      <c r="L59" s="70" t="s">
        <v>13</v>
      </c>
      <c r="M59" s="70" t="s">
        <v>14</v>
      </c>
      <c r="N59" s="70" t="s">
        <v>15</v>
      </c>
      <c r="O59" s="70" t="s">
        <v>64</v>
      </c>
      <c r="P59" s="70" t="s">
        <v>17</v>
      </c>
      <c r="Q59" s="70" t="s">
        <v>18</v>
      </c>
      <c r="R59" s="70" t="s">
        <v>19</v>
      </c>
    </row>
    <row r="60" spans="1:18" ht="18.75">
      <c r="B60" s="71"/>
      <c r="C60" s="72">
        <v>77</v>
      </c>
      <c r="D60" s="72"/>
      <c r="E60" s="72">
        <v>79</v>
      </c>
      <c r="F60" s="72"/>
      <c r="G60" s="72">
        <v>335</v>
      </c>
      <c r="H60" s="72"/>
      <c r="I60" s="72">
        <v>2350</v>
      </c>
      <c r="J60" s="72">
        <v>1.2</v>
      </c>
      <c r="K60" s="73">
        <v>1.4</v>
      </c>
      <c r="L60" s="73">
        <v>60</v>
      </c>
      <c r="M60" s="73">
        <v>0.7</v>
      </c>
      <c r="N60" s="73">
        <v>10</v>
      </c>
      <c r="O60" s="73">
        <v>1110</v>
      </c>
      <c r="P60" s="73">
        <v>1650</v>
      </c>
      <c r="Q60" s="73">
        <v>250</v>
      </c>
      <c r="R60" s="73">
        <v>12</v>
      </c>
    </row>
    <row r="61" spans="1:18" ht="18.75">
      <c r="B61" s="71" t="s">
        <v>65</v>
      </c>
      <c r="C61" s="74">
        <v>20</v>
      </c>
      <c r="D61" s="74"/>
      <c r="E61" s="74">
        <v>20</v>
      </c>
      <c r="F61" s="74"/>
      <c r="G61" s="74">
        <v>20</v>
      </c>
      <c r="H61" s="74"/>
      <c r="I61" s="74">
        <v>20</v>
      </c>
      <c r="J61" s="74">
        <v>20</v>
      </c>
      <c r="K61" s="74">
        <v>20</v>
      </c>
      <c r="L61" s="74">
        <v>20</v>
      </c>
      <c r="M61" s="74">
        <v>20</v>
      </c>
      <c r="N61" s="74">
        <v>20</v>
      </c>
      <c r="O61" s="74">
        <v>20</v>
      </c>
      <c r="P61" s="74">
        <v>20</v>
      </c>
      <c r="Q61" s="74">
        <v>20</v>
      </c>
      <c r="R61" s="74">
        <v>20</v>
      </c>
    </row>
    <row r="62" spans="1:18" ht="18.75">
      <c r="B62" s="71"/>
      <c r="C62" s="74">
        <v>25</v>
      </c>
      <c r="D62" s="74"/>
      <c r="E62" s="74">
        <v>25</v>
      </c>
      <c r="F62" s="74"/>
      <c r="G62" s="74">
        <v>25</v>
      </c>
      <c r="H62" s="74"/>
      <c r="I62" s="74">
        <v>25</v>
      </c>
      <c r="J62" s="74">
        <v>25</v>
      </c>
      <c r="K62" s="74">
        <v>25</v>
      </c>
      <c r="L62" s="74">
        <v>25</v>
      </c>
      <c r="M62" s="74">
        <v>25</v>
      </c>
      <c r="N62" s="74">
        <v>25</v>
      </c>
      <c r="O62" s="74">
        <v>25</v>
      </c>
      <c r="P62" s="74">
        <v>25</v>
      </c>
      <c r="Q62" s="74">
        <v>25</v>
      </c>
      <c r="R62" s="74">
        <v>25</v>
      </c>
    </row>
    <row r="63" spans="1:18" ht="18.75">
      <c r="B63" s="71"/>
      <c r="C63" s="75">
        <v>30</v>
      </c>
      <c r="D63" s="75"/>
      <c r="E63" s="75">
        <v>30</v>
      </c>
      <c r="F63" s="75"/>
      <c r="G63" s="75">
        <v>30</v>
      </c>
      <c r="H63" s="75"/>
      <c r="I63" s="75">
        <v>30</v>
      </c>
      <c r="J63" s="75">
        <v>30</v>
      </c>
      <c r="K63" s="75">
        <v>30</v>
      </c>
      <c r="L63" s="75">
        <v>30</v>
      </c>
      <c r="M63" s="75">
        <v>30</v>
      </c>
      <c r="N63" s="75">
        <v>30</v>
      </c>
      <c r="O63" s="75">
        <v>30</v>
      </c>
      <c r="P63" s="75">
        <v>30</v>
      </c>
      <c r="Q63" s="75">
        <v>30</v>
      </c>
      <c r="R63" s="75">
        <v>30</v>
      </c>
    </row>
    <row r="64" spans="1:18" ht="18.75">
      <c r="B64" s="71"/>
      <c r="C64" s="75">
        <v>35</v>
      </c>
      <c r="D64" s="75"/>
      <c r="E64" s="75">
        <v>35</v>
      </c>
      <c r="F64" s="75"/>
      <c r="G64" s="75">
        <v>35</v>
      </c>
      <c r="H64" s="75"/>
      <c r="I64" s="75">
        <v>35</v>
      </c>
      <c r="J64" s="75">
        <v>35</v>
      </c>
      <c r="K64" s="75">
        <v>35</v>
      </c>
      <c r="L64" s="75">
        <v>35</v>
      </c>
      <c r="M64" s="75">
        <v>35</v>
      </c>
      <c r="N64" s="75">
        <v>35</v>
      </c>
      <c r="O64" s="75">
        <v>35</v>
      </c>
      <c r="P64" s="75">
        <v>35</v>
      </c>
      <c r="Q64" s="75">
        <v>35</v>
      </c>
      <c r="R64" s="75">
        <v>35</v>
      </c>
    </row>
    <row r="65" spans="2:18" ht="18.75">
      <c r="B65" s="71" t="s">
        <v>66</v>
      </c>
      <c r="C65" s="74">
        <f>C60*C61/100</f>
        <v>15.4</v>
      </c>
      <c r="D65" s="74"/>
      <c r="E65" s="74">
        <f t="shared" ref="E65:R65" si="3">E60*E61/100</f>
        <v>15.8</v>
      </c>
      <c r="F65" s="74"/>
      <c r="G65" s="74">
        <f t="shared" si="3"/>
        <v>67</v>
      </c>
      <c r="H65" s="74"/>
      <c r="I65" s="74">
        <f t="shared" si="3"/>
        <v>470</v>
      </c>
      <c r="J65" s="74">
        <f t="shared" si="3"/>
        <v>0.24</v>
      </c>
      <c r="K65" s="74">
        <f t="shared" si="3"/>
        <v>0.28000000000000003</v>
      </c>
      <c r="L65" s="74">
        <f t="shared" si="3"/>
        <v>12</v>
      </c>
      <c r="M65" s="74">
        <f t="shared" si="3"/>
        <v>0.14000000000000001</v>
      </c>
      <c r="N65" s="74">
        <f t="shared" si="3"/>
        <v>2</v>
      </c>
      <c r="O65" s="74">
        <f t="shared" si="3"/>
        <v>222</v>
      </c>
      <c r="P65" s="74">
        <f t="shared" si="3"/>
        <v>330</v>
      </c>
      <c r="Q65" s="74">
        <f t="shared" si="3"/>
        <v>50</v>
      </c>
      <c r="R65" s="74">
        <f t="shared" si="3"/>
        <v>2.4</v>
      </c>
    </row>
    <row r="66" spans="2:18" ht="18.75">
      <c r="B66" s="71"/>
      <c r="C66" s="74">
        <f>C60*C62/100</f>
        <v>19.25</v>
      </c>
      <c r="D66" s="74"/>
      <c r="E66" s="74">
        <f t="shared" ref="E66:R66" si="4">E60*E62/100</f>
        <v>19.75</v>
      </c>
      <c r="F66" s="74"/>
      <c r="G66" s="74">
        <f t="shared" si="4"/>
        <v>83.75</v>
      </c>
      <c r="H66" s="74"/>
      <c r="I66" s="74">
        <f t="shared" si="4"/>
        <v>587.5</v>
      </c>
      <c r="J66" s="74">
        <f t="shared" si="4"/>
        <v>0.3</v>
      </c>
      <c r="K66" s="74">
        <f t="shared" si="4"/>
        <v>0.35</v>
      </c>
      <c r="L66" s="74">
        <f t="shared" si="4"/>
        <v>15</v>
      </c>
      <c r="M66" s="74">
        <f t="shared" si="4"/>
        <v>0.17499999999999999</v>
      </c>
      <c r="N66" s="74">
        <f t="shared" si="4"/>
        <v>2.5</v>
      </c>
      <c r="O66" s="74">
        <f t="shared" si="4"/>
        <v>277.5</v>
      </c>
      <c r="P66" s="74">
        <f t="shared" si="4"/>
        <v>412.5</v>
      </c>
      <c r="Q66" s="74">
        <f t="shared" si="4"/>
        <v>62.5</v>
      </c>
      <c r="R66" s="74">
        <f t="shared" si="4"/>
        <v>3</v>
      </c>
    </row>
    <row r="67" spans="2:18" ht="18.75">
      <c r="B67" s="76" t="s">
        <v>67</v>
      </c>
      <c r="C67" s="77">
        <f>C60*C63/100</f>
        <v>23.1</v>
      </c>
      <c r="D67" s="77"/>
      <c r="E67" s="77">
        <f t="shared" ref="E67:R67" si="5">E60*E63/100</f>
        <v>23.7</v>
      </c>
      <c r="F67" s="77"/>
      <c r="G67" s="77">
        <f t="shared" si="5"/>
        <v>100.5</v>
      </c>
      <c r="H67" s="77"/>
      <c r="I67" s="77">
        <f t="shared" si="5"/>
        <v>705</v>
      </c>
      <c r="J67" s="77">
        <f t="shared" si="5"/>
        <v>0.36</v>
      </c>
      <c r="K67" s="77">
        <f t="shared" si="5"/>
        <v>0.42</v>
      </c>
      <c r="L67" s="77">
        <f t="shared" si="5"/>
        <v>18</v>
      </c>
      <c r="M67" s="77">
        <f t="shared" si="5"/>
        <v>0.21</v>
      </c>
      <c r="N67" s="77">
        <f t="shared" si="5"/>
        <v>3</v>
      </c>
      <c r="O67" s="77">
        <f t="shared" si="5"/>
        <v>333</v>
      </c>
      <c r="P67" s="77">
        <f t="shared" si="5"/>
        <v>495</v>
      </c>
      <c r="Q67" s="77">
        <f t="shared" si="5"/>
        <v>75</v>
      </c>
      <c r="R67" s="77">
        <f t="shared" si="5"/>
        <v>3.6</v>
      </c>
    </row>
    <row r="68" spans="2:18" ht="18.75">
      <c r="B68" s="76"/>
      <c r="C68" s="77">
        <f>C60*C64/100</f>
        <v>26.95</v>
      </c>
      <c r="D68" s="77"/>
      <c r="E68" s="77">
        <f t="shared" ref="E68:R68" si="6">E60*E64/100</f>
        <v>27.65</v>
      </c>
      <c r="F68" s="77"/>
      <c r="G68" s="77">
        <f t="shared" si="6"/>
        <v>117.25</v>
      </c>
      <c r="H68" s="77"/>
      <c r="I68" s="77">
        <f t="shared" si="6"/>
        <v>822.5</v>
      </c>
      <c r="J68" s="77">
        <f t="shared" si="6"/>
        <v>0.42</v>
      </c>
      <c r="K68" s="77">
        <f t="shared" si="6"/>
        <v>0.49</v>
      </c>
      <c r="L68" s="77">
        <f t="shared" si="6"/>
        <v>21</v>
      </c>
      <c r="M68" s="77">
        <f t="shared" si="6"/>
        <v>0.245</v>
      </c>
      <c r="N68" s="77">
        <f t="shared" si="6"/>
        <v>3.5</v>
      </c>
      <c r="O68" s="77">
        <f t="shared" si="6"/>
        <v>388.5</v>
      </c>
      <c r="P68" s="77">
        <f t="shared" si="6"/>
        <v>577.5</v>
      </c>
      <c r="Q68" s="77">
        <f t="shared" si="6"/>
        <v>87.5</v>
      </c>
      <c r="R68" s="77">
        <f t="shared" si="6"/>
        <v>4.2</v>
      </c>
    </row>
  </sheetData>
  <mergeCells count="15">
    <mergeCell ref="B3:Q3"/>
    <mergeCell ref="B4:Q4"/>
    <mergeCell ref="B27:R27"/>
    <mergeCell ref="G1:G2"/>
    <mergeCell ref="H1:H2"/>
    <mergeCell ref="I1:I2"/>
    <mergeCell ref="J1:J2"/>
    <mergeCell ref="K1:N1"/>
    <mergeCell ref="O1:R1"/>
    <mergeCell ref="F1:F2"/>
    <mergeCell ref="A1:A2"/>
    <mergeCell ref="B1:B2"/>
    <mergeCell ref="C1:C2"/>
    <mergeCell ref="D1:D2"/>
    <mergeCell ref="E1:E2"/>
  </mergeCells>
  <printOptions horizontalCentered="1" verticalCentered="1"/>
  <pageMargins left="0" right="0.11811023622047245" top="0" bottom="0" header="0" footer="0"/>
  <pageSetup paperSize="9" scale="5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view="pageBreakPreview" zoomScale="60" zoomScaleNormal="10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A58" sqref="A58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</cols>
  <sheetData>
    <row r="1" spans="1:18" ht="15.75">
      <c r="A1" s="232" t="s">
        <v>0</v>
      </c>
      <c r="B1" s="233" t="s">
        <v>1</v>
      </c>
      <c r="C1" s="234" t="s">
        <v>2</v>
      </c>
      <c r="D1" s="244" t="s">
        <v>3</v>
      </c>
      <c r="E1" s="241" t="s">
        <v>4</v>
      </c>
      <c r="F1" s="239" t="s">
        <v>5</v>
      </c>
      <c r="G1" s="241" t="s">
        <v>6</v>
      </c>
      <c r="H1" s="239" t="s">
        <v>7</v>
      </c>
      <c r="I1" s="234" t="s">
        <v>8</v>
      </c>
      <c r="J1" s="234" t="s">
        <v>9</v>
      </c>
      <c r="K1" s="237" t="s">
        <v>10</v>
      </c>
      <c r="L1" s="237"/>
      <c r="M1" s="237"/>
      <c r="N1" s="237"/>
      <c r="O1" s="237" t="s">
        <v>11</v>
      </c>
      <c r="P1" s="237"/>
      <c r="Q1" s="237"/>
      <c r="R1" s="237"/>
    </row>
    <row r="2" spans="1:18" ht="72" customHeight="1">
      <c r="A2" s="232"/>
      <c r="B2" s="233"/>
      <c r="C2" s="234"/>
      <c r="D2" s="245"/>
      <c r="E2" s="241"/>
      <c r="F2" s="240"/>
      <c r="G2" s="241"/>
      <c r="H2" s="240"/>
      <c r="I2" s="234"/>
      <c r="J2" s="234"/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</row>
    <row r="3" spans="1:18" ht="15.75">
      <c r="A3" s="3"/>
      <c r="B3" s="248" t="s">
        <v>186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4"/>
    </row>
    <row r="4" spans="1:18" ht="16.5" thickBot="1">
      <c r="A4" s="5"/>
      <c r="B4" s="247" t="s">
        <v>21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6"/>
    </row>
    <row r="5" spans="1:18" ht="16.5" thickBot="1">
      <c r="A5" s="7" t="s">
        <v>300</v>
      </c>
      <c r="B5" s="8" t="s">
        <v>299</v>
      </c>
      <c r="C5" s="9">
        <v>200</v>
      </c>
      <c r="D5" s="9">
        <v>177.4</v>
      </c>
      <c r="E5" s="9">
        <v>3.3</v>
      </c>
      <c r="F5" s="9">
        <v>0.1</v>
      </c>
      <c r="G5" s="9">
        <v>8.6</v>
      </c>
      <c r="H5" s="9">
        <v>0.7</v>
      </c>
      <c r="I5" s="9">
        <v>23.2</v>
      </c>
      <c r="J5" s="9">
        <v>183.4</v>
      </c>
      <c r="K5" s="9">
        <v>0.4</v>
      </c>
      <c r="L5" s="9">
        <v>1.9</v>
      </c>
      <c r="M5" s="9">
        <v>71.599999999999994</v>
      </c>
      <c r="N5" s="9">
        <v>0.4</v>
      </c>
      <c r="O5" s="9">
        <v>92.3</v>
      </c>
      <c r="P5" s="9">
        <v>128</v>
      </c>
      <c r="Q5" s="9">
        <v>26.7</v>
      </c>
      <c r="R5" s="10">
        <v>1.3</v>
      </c>
    </row>
    <row r="6" spans="1:18" ht="15.75">
      <c r="A6" s="46"/>
      <c r="B6" s="115" t="s">
        <v>69</v>
      </c>
      <c r="C6" s="91">
        <v>14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.75">
      <c r="A7" s="46"/>
      <c r="B7" s="115" t="s">
        <v>70</v>
      </c>
      <c r="C7" s="91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.75">
      <c r="A8" s="46"/>
      <c r="B8" s="115" t="s">
        <v>71</v>
      </c>
      <c r="C8" s="91">
        <v>180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.75">
      <c r="A9" s="46"/>
      <c r="B9" s="115" t="s">
        <v>54</v>
      </c>
      <c r="C9" s="91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5.75">
      <c r="A10" s="46"/>
      <c r="B10" s="115" t="s">
        <v>29</v>
      </c>
      <c r="C10" s="91">
        <v>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.75">
      <c r="A11" s="46"/>
      <c r="B11" s="115" t="s">
        <v>53</v>
      </c>
      <c r="C11" s="91">
        <v>10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6.5" thickBot="1">
      <c r="A12" s="47"/>
      <c r="B12" s="123" t="s">
        <v>51</v>
      </c>
      <c r="C12" s="93">
        <v>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6.5" thickBot="1">
      <c r="A13" s="174" t="s">
        <v>301</v>
      </c>
      <c r="B13" s="175" t="s">
        <v>210</v>
      </c>
      <c r="C13" s="176">
        <v>50</v>
      </c>
      <c r="D13" s="177"/>
      <c r="E13" s="178">
        <f>10.48*0.5</f>
        <v>5.24</v>
      </c>
      <c r="F13" s="178"/>
      <c r="G13" s="178">
        <f>10.9*0.5</f>
        <v>5.45</v>
      </c>
      <c r="H13" s="178"/>
      <c r="I13" s="178">
        <f>33.11*0.5</f>
        <v>16.555</v>
      </c>
      <c r="J13" s="178">
        <f>287.3*0.5</f>
        <v>143.65</v>
      </c>
      <c r="K13" s="178">
        <f>0.08*0.5</f>
        <v>0.04</v>
      </c>
      <c r="L13" s="178">
        <f>0.05*0.5</f>
        <v>2.5000000000000001E-2</v>
      </c>
      <c r="M13" s="178">
        <f>0.09*0.5</f>
        <v>4.4999999999999998E-2</v>
      </c>
      <c r="N13" s="178">
        <v>0</v>
      </c>
      <c r="O13" s="178">
        <f>67.84*0.5</f>
        <v>33.92</v>
      </c>
      <c r="P13" s="178">
        <f>111.88*0.5</f>
        <v>55.94</v>
      </c>
      <c r="Q13" s="178">
        <f>15.85*0.5</f>
        <v>7.9249999999999998</v>
      </c>
      <c r="R13" s="179">
        <f>0.91*0.5</f>
        <v>0.45500000000000002</v>
      </c>
    </row>
    <row r="14" spans="1:18" ht="15.75">
      <c r="A14" s="171"/>
      <c r="B14" s="169" t="s">
        <v>28</v>
      </c>
      <c r="C14" s="170">
        <f>44*0.5</f>
        <v>22</v>
      </c>
      <c r="D14" s="183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</row>
    <row r="15" spans="1:18" ht="15.75">
      <c r="A15" s="172"/>
      <c r="B15" s="128" t="s">
        <v>71</v>
      </c>
      <c r="C15" s="129">
        <f>22*0.5</f>
        <v>11</v>
      </c>
      <c r="D15" s="181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</row>
    <row r="16" spans="1:18" ht="15.75">
      <c r="A16" s="172"/>
      <c r="B16" s="128" t="s">
        <v>196</v>
      </c>
      <c r="C16" s="129">
        <f>10*0.5</f>
        <v>5</v>
      </c>
      <c r="D16" s="181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8" ht="15.75">
      <c r="A17" s="172"/>
      <c r="B17" s="128" t="s">
        <v>29</v>
      </c>
      <c r="C17" s="129">
        <f>5*0.5</f>
        <v>2.5</v>
      </c>
      <c r="D17" s="181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ht="15.75">
      <c r="A18" s="172"/>
      <c r="B18" s="128" t="s">
        <v>219</v>
      </c>
      <c r="C18" s="129">
        <v>2</v>
      </c>
      <c r="D18" s="18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</row>
    <row r="19" spans="1:18" ht="15.75">
      <c r="A19" s="172"/>
      <c r="B19" s="128" t="s">
        <v>53</v>
      </c>
      <c r="C19" s="129">
        <v>2.5</v>
      </c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</row>
    <row r="20" spans="1:18" ht="15.75">
      <c r="A20" s="172"/>
      <c r="B20" s="128" t="s">
        <v>44</v>
      </c>
      <c r="C20" s="129">
        <f>3*0.5</f>
        <v>1.5</v>
      </c>
      <c r="D20" s="181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</row>
    <row r="21" spans="1:18" ht="15.75">
      <c r="A21" s="172"/>
      <c r="B21" s="128" t="s">
        <v>220</v>
      </c>
      <c r="C21" s="129">
        <f>23*0.5</f>
        <v>11.5</v>
      </c>
      <c r="D21" s="181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</row>
    <row r="22" spans="1:18" ht="15.75">
      <c r="A22" s="172"/>
      <c r="B22" s="128" t="s">
        <v>29</v>
      </c>
      <c r="C22" s="129">
        <f>3*0.5</f>
        <v>1.5</v>
      </c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15.75">
      <c r="A23" s="172"/>
      <c r="B23" s="128" t="s">
        <v>196</v>
      </c>
      <c r="C23" s="129">
        <v>5</v>
      </c>
      <c r="D23" s="181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</row>
    <row r="24" spans="1:18" ht="15.75">
      <c r="A24" s="172"/>
      <c r="B24" s="128" t="s">
        <v>51</v>
      </c>
      <c r="C24" s="129">
        <f>0.5*0.5</f>
        <v>0.25</v>
      </c>
      <c r="D24" s="181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ht="18" customHeight="1" thickBot="1">
      <c r="A25" s="172"/>
      <c r="B25" s="128" t="s">
        <v>44</v>
      </c>
      <c r="C25" s="129">
        <f>2*0.5</f>
        <v>1</v>
      </c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</row>
    <row r="26" spans="1:18" ht="16.5" thickBot="1">
      <c r="A26" s="7"/>
      <c r="B26" s="8" t="s">
        <v>266</v>
      </c>
      <c r="C26" s="9">
        <v>200</v>
      </c>
      <c r="D26" s="9"/>
      <c r="E26" s="79">
        <v>5.6</v>
      </c>
      <c r="F26" s="79">
        <v>2.78</v>
      </c>
      <c r="G26" s="79">
        <v>5.4</v>
      </c>
      <c r="H26" s="79">
        <v>0.67</v>
      </c>
      <c r="I26" s="79">
        <v>8.1999999999999993</v>
      </c>
      <c r="J26" s="79">
        <v>112</v>
      </c>
      <c r="K26" s="79">
        <v>0.04</v>
      </c>
      <c r="L26" s="79">
        <v>1.6</v>
      </c>
      <c r="M26" s="79">
        <v>0.2</v>
      </c>
      <c r="N26" s="79"/>
      <c r="O26" s="79">
        <v>242</v>
      </c>
      <c r="P26" s="79">
        <v>182</v>
      </c>
      <c r="Q26" s="79">
        <v>28</v>
      </c>
      <c r="R26" s="80">
        <v>0.2</v>
      </c>
    </row>
    <row r="27" spans="1:18" ht="16.5" thickBot="1">
      <c r="A27" s="47"/>
      <c r="B27" s="88" t="s">
        <v>71</v>
      </c>
      <c r="C27" s="18">
        <v>200</v>
      </c>
      <c r="D27" s="1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6.5" thickBot="1">
      <c r="A28" s="23" t="s">
        <v>35</v>
      </c>
      <c r="B28" s="24" t="s">
        <v>36</v>
      </c>
      <c r="C28" s="25">
        <v>40</v>
      </c>
      <c r="D28" s="25">
        <v>15.2</v>
      </c>
      <c r="E28" s="25">
        <v>3.16</v>
      </c>
      <c r="F28" s="25"/>
      <c r="G28" s="25">
        <v>0.4</v>
      </c>
      <c r="H28" s="25">
        <v>0.4</v>
      </c>
      <c r="I28" s="25">
        <v>19.32</v>
      </c>
      <c r="J28" s="25">
        <v>93.52</v>
      </c>
      <c r="K28" s="25">
        <v>0.04</v>
      </c>
      <c r="L28" s="25"/>
      <c r="M28" s="25"/>
      <c r="N28" s="25">
        <v>0.52</v>
      </c>
      <c r="O28" s="25">
        <v>9.1999999999999993</v>
      </c>
      <c r="P28" s="25">
        <v>34.799999999999997</v>
      </c>
      <c r="Q28" s="25">
        <v>13.2</v>
      </c>
      <c r="R28" s="26">
        <v>0.44</v>
      </c>
    </row>
    <row r="29" spans="1:18" ht="16.5" thickBot="1">
      <c r="A29" s="19"/>
      <c r="B29" s="27" t="s">
        <v>37</v>
      </c>
      <c r="C29" s="21">
        <v>40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6.5" thickBot="1">
      <c r="A30" s="36"/>
      <c r="B30" s="37" t="s">
        <v>40</v>
      </c>
      <c r="C30" s="38"/>
      <c r="D30" s="38">
        <f t="shared" ref="D30:R30" si="0">SUM(D5:D29)</f>
        <v>192.6</v>
      </c>
      <c r="E30" s="38">
        <f t="shared" si="0"/>
        <v>17.299999999999997</v>
      </c>
      <c r="F30" s="38">
        <f t="shared" si="0"/>
        <v>2.88</v>
      </c>
      <c r="G30" s="38">
        <f t="shared" si="0"/>
        <v>19.850000000000001</v>
      </c>
      <c r="H30" s="38">
        <f t="shared" si="0"/>
        <v>1.77</v>
      </c>
      <c r="I30" s="38">
        <f t="shared" si="0"/>
        <v>67.275000000000006</v>
      </c>
      <c r="J30" s="38">
        <f t="shared" si="0"/>
        <v>532.57000000000005</v>
      </c>
      <c r="K30" s="38">
        <f t="shared" si="0"/>
        <v>0.52</v>
      </c>
      <c r="L30" s="38">
        <f t="shared" si="0"/>
        <v>3.5249999999999999</v>
      </c>
      <c r="M30" s="38">
        <f t="shared" si="0"/>
        <v>71.844999999999999</v>
      </c>
      <c r="N30" s="38">
        <f t="shared" si="0"/>
        <v>0.92</v>
      </c>
      <c r="O30" s="38">
        <f t="shared" si="0"/>
        <v>377.42</v>
      </c>
      <c r="P30" s="38">
        <f t="shared" si="0"/>
        <v>400.74</v>
      </c>
      <c r="Q30" s="38">
        <f t="shared" si="0"/>
        <v>75.825000000000003</v>
      </c>
      <c r="R30" s="38">
        <f t="shared" si="0"/>
        <v>2.395</v>
      </c>
    </row>
    <row r="31" spans="1:18" ht="16.5" thickBot="1">
      <c r="A31" s="19"/>
      <c r="B31" s="242" t="s">
        <v>41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</row>
    <row r="32" spans="1:18" ht="16.5" thickBot="1">
      <c r="A32" s="7" t="s">
        <v>302</v>
      </c>
      <c r="B32" s="8" t="s">
        <v>256</v>
      </c>
      <c r="C32" s="9">
        <v>100</v>
      </c>
      <c r="D32" s="9">
        <v>85.7</v>
      </c>
      <c r="E32" s="79">
        <v>2.2000000000000002</v>
      </c>
      <c r="F32" s="79"/>
      <c r="G32" s="79">
        <v>7.8</v>
      </c>
      <c r="H32" s="79">
        <v>6.18</v>
      </c>
      <c r="I32" s="79">
        <v>4.62</v>
      </c>
      <c r="J32" s="79">
        <v>78.56</v>
      </c>
      <c r="K32" s="79">
        <v>0.09</v>
      </c>
      <c r="L32" s="79">
        <v>20.3</v>
      </c>
      <c r="M32" s="79"/>
      <c r="N32" s="79">
        <v>3.37</v>
      </c>
      <c r="O32" s="79">
        <v>17.21</v>
      </c>
      <c r="P32" s="79">
        <v>32.119999999999997</v>
      </c>
      <c r="Q32" s="79">
        <v>17.62</v>
      </c>
      <c r="R32" s="80">
        <v>0.83</v>
      </c>
    </row>
    <row r="33" spans="1:18" ht="15.75">
      <c r="A33" s="46"/>
      <c r="B33" s="169" t="s">
        <v>257</v>
      </c>
      <c r="C33" s="170">
        <v>84.7</v>
      </c>
      <c r="D33" s="12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.75">
      <c r="A34" s="46"/>
      <c r="B34" s="169" t="s">
        <v>49</v>
      </c>
      <c r="C34" s="170">
        <v>28.8</v>
      </c>
      <c r="D34" s="12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.75">
      <c r="A35" s="46"/>
      <c r="B35" s="169" t="s">
        <v>258</v>
      </c>
      <c r="C35" s="170">
        <v>2.5</v>
      </c>
      <c r="D35" s="12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6.5" thickBot="1">
      <c r="A36" s="47"/>
      <c r="B36" s="123" t="s">
        <v>51</v>
      </c>
      <c r="C36" s="124">
        <v>0.25</v>
      </c>
      <c r="D36" s="1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6.5" thickBot="1">
      <c r="A37" s="7" t="s">
        <v>304</v>
      </c>
      <c r="B37" s="8" t="s">
        <v>303</v>
      </c>
      <c r="C37" s="9">
        <v>250</v>
      </c>
      <c r="D37" s="9">
        <v>219.1</v>
      </c>
      <c r="E37" s="59">
        <v>2.2000000000000002</v>
      </c>
      <c r="F37" s="59"/>
      <c r="G37" s="59">
        <v>4.9000000000000004</v>
      </c>
      <c r="H37" s="59">
        <v>4.9000000000000004</v>
      </c>
      <c r="I37" s="59">
        <v>14.3</v>
      </c>
      <c r="J37" s="59">
        <v>128.5</v>
      </c>
      <c r="K37" s="59">
        <v>0.2</v>
      </c>
      <c r="L37" s="59">
        <v>5.73</v>
      </c>
      <c r="M37" s="59"/>
      <c r="N37" s="59">
        <v>2.4300000000000002</v>
      </c>
      <c r="O37" s="59">
        <v>29.28</v>
      </c>
      <c r="P37" s="59">
        <v>86.98</v>
      </c>
      <c r="Q37" s="59">
        <v>36</v>
      </c>
      <c r="R37" s="60">
        <v>2.0299999999999998</v>
      </c>
    </row>
    <row r="38" spans="1:18" ht="15.75">
      <c r="A38" s="3"/>
      <c r="B38" s="169" t="s">
        <v>24</v>
      </c>
      <c r="C38" s="170">
        <f>100/4</f>
        <v>25</v>
      </c>
      <c r="D38" s="13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.75">
      <c r="A39" s="15"/>
      <c r="B39" s="128" t="s">
        <v>48</v>
      </c>
      <c r="C39" s="129">
        <f>267/4</f>
        <v>66.75</v>
      </c>
      <c r="D39" s="14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5.75">
      <c r="A40" s="15"/>
      <c r="B40" s="128" t="s">
        <v>25</v>
      </c>
      <c r="C40" s="129">
        <f>50/4</f>
        <v>12.5</v>
      </c>
      <c r="D40" s="14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5.75">
      <c r="A41" s="15"/>
      <c r="B41" s="123" t="s">
        <v>51</v>
      </c>
      <c r="C41" s="124">
        <v>0.45</v>
      </c>
      <c r="D41" s="14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5.75">
      <c r="A42" s="15"/>
      <c r="B42" s="128" t="s">
        <v>49</v>
      </c>
      <c r="C42" s="129">
        <f>48/4</f>
        <v>12</v>
      </c>
      <c r="D42" s="14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5.75">
      <c r="A43" s="15"/>
      <c r="B43" s="128" t="s">
        <v>254</v>
      </c>
      <c r="C43" s="129">
        <f>33/4</f>
        <v>8.25</v>
      </c>
      <c r="D43" s="14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5.75">
      <c r="A44" s="15"/>
      <c r="B44" s="128" t="s">
        <v>44</v>
      </c>
      <c r="C44" s="129">
        <f>20/4</f>
        <v>5</v>
      </c>
      <c r="D44" s="14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6.5" thickBot="1">
      <c r="A45" s="5"/>
      <c r="B45" s="123" t="s">
        <v>50</v>
      </c>
      <c r="C45" s="124">
        <f>750/4</f>
        <v>187.5</v>
      </c>
      <c r="D45" s="139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6.5" thickBot="1">
      <c r="A46" s="7" t="s">
        <v>305</v>
      </c>
      <c r="B46" s="120" t="s">
        <v>109</v>
      </c>
      <c r="C46" s="9">
        <v>100</v>
      </c>
      <c r="D46" s="9">
        <v>73.06</v>
      </c>
      <c r="E46" s="59">
        <f>7.8/0.8</f>
        <v>9.75</v>
      </c>
      <c r="F46" s="59">
        <v>9.06</v>
      </c>
      <c r="G46" s="59">
        <v>4.96</v>
      </c>
      <c r="H46" s="59">
        <v>4.46</v>
      </c>
      <c r="I46" s="59">
        <f>3.04/0.8</f>
        <v>3.8</v>
      </c>
      <c r="J46" s="59">
        <f>84/0.8</f>
        <v>105</v>
      </c>
      <c r="K46" s="59">
        <v>0.08</v>
      </c>
      <c r="L46" s="59">
        <v>1.2</v>
      </c>
      <c r="M46" s="59">
        <v>14.8</v>
      </c>
      <c r="N46" s="59">
        <v>1.48</v>
      </c>
      <c r="O46" s="59">
        <v>28.8</v>
      </c>
      <c r="P46" s="59">
        <v>176.93</v>
      </c>
      <c r="Q46" s="59">
        <v>28.53</v>
      </c>
      <c r="R46" s="60">
        <v>0.55000000000000004</v>
      </c>
    </row>
    <row r="47" spans="1:18" ht="15.75">
      <c r="A47" s="46"/>
      <c r="B47" s="133" t="s">
        <v>105</v>
      </c>
      <c r="C47" s="12">
        <v>145</v>
      </c>
      <c r="D47" s="2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5.75">
      <c r="A48" s="47"/>
      <c r="B48" s="134" t="s">
        <v>106</v>
      </c>
      <c r="C48" s="18">
        <f>19</f>
        <v>19</v>
      </c>
      <c r="D48" s="21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5.75">
      <c r="A49" s="47"/>
      <c r="B49" s="134" t="s">
        <v>25</v>
      </c>
      <c r="C49" s="18">
        <f>23</f>
        <v>23</v>
      </c>
      <c r="D49" s="21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5.75">
      <c r="A50" s="47"/>
      <c r="B50" s="123" t="s">
        <v>51</v>
      </c>
      <c r="C50" s="124">
        <v>1</v>
      </c>
      <c r="D50" s="21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.75">
      <c r="A51" s="47"/>
      <c r="B51" s="134" t="s">
        <v>49</v>
      </c>
      <c r="C51" s="18">
        <f>10</f>
        <v>10</v>
      </c>
      <c r="D51" s="21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5.75">
      <c r="A52" s="47"/>
      <c r="B52" s="134" t="s">
        <v>27</v>
      </c>
      <c r="C52" s="18">
        <v>8</v>
      </c>
      <c r="D52" s="21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6.5" thickBot="1">
      <c r="A53" s="47"/>
      <c r="B53" s="134" t="s">
        <v>44</v>
      </c>
      <c r="C53" s="18">
        <v>2.5</v>
      </c>
      <c r="D53" s="21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6.5" thickBot="1">
      <c r="A54" s="7" t="s">
        <v>307</v>
      </c>
      <c r="B54" s="8" t="s">
        <v>306</v>
      </c>
      <c r="C54" s="9">
        <v>150</v>
      </c>
      <c r="D54" s="9">
        <v>102.4</v>
      </c>
      <c r="E54" s="9">
        <v>4.22</v>
      </c>
      <c r="F54" s="9">
        <v>7.0000000000000007E-2</v>
      </c>
      <c r="G54" s="9">
        <v>5.72</v>
      </c>
      <c r="H54" s="9">
        <v>0.53</v>
      </c>
      <c r="I54" s="9">
        <v>36.68</v>
      </c>
      <c r="J54" s="9">
        <v>210.11</v>
      </c>
      <c r="K54" s="9">
        <v>0.03</v>
      </c>
      <c r="L54" s="9"/>
      <c r="M54" s="9">
        <v>27</v>
      </c>
      <c r="N54" s="9">
        <v>0.6</v>
      </c>
      <c r="O54" s="9">
        <v>2.61</v>
      </c>
      <c r="P54" s="9">
        <v>61.5</v>
      </c>
      <c r="Q54" s="9">
        <v>19.010000000000002</v>
      </c>
      <c r="R54" s="10">
        <v>0.53</v>
      </c>
    </row>
    <row r="55" spans="1:18" ht="15.75">
      <c r="A55" s="46"/>
      <c r="B55" s="87" t="s">
        <v>69</v>
      </c>
      <c r="C55" s="12">
        <v>40</v>
      </c>
      <c r="D55" s="13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5.75">
      <c r="A56" s="56"/>
      <c r="B56" s="123" t="s">
        <v>51</v>
      </c>
      <c r="C56" s="124">
        <v>0.25</v>
      </c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6.5" thickBot="1">
      <c r="A57" s="48"/>
      <c r="B57" s="89" t="s">
        <v>53</v>
      </c>
      <c r="C57" s="14">
        <f>45/1000*150</f>
        <v>6.75</v>
      </c>
      <c r="D57" s="139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6.5" thickBot="1">
      <c r="A58" s="7" t="s">
        <v>271</v>
      </c>
      <c r="B58" s="8" t="s">
        <v>33</v>
      </c>
      <c r="C58" s="9">
        <v>200</v>
      </c>
      <c r="D58" s="9"/>
      <c r="E58" s="9">
        <v>0.2</v>
      </c>
      <c r="F58" s="9"/>
      <c r="G58" s="9">
        <v>0</v>
      </c>
      <c r="H58" s="9"/>
      <c r="I58" s="9">
        <v>14</v>
      </c>
      <c r="J58" s="9">
        <v>28</v>
      </c>
      <c r="K58" s="9">
        <v>0</v>
      </c>
      <c r="L58" s="9">
        <v>0</v>
      </c>
      <c r="M58" s="9">
        <v>0</v>
      </c>
      <c r="N58" s="9"/>
      <c r="O58" s="9">
        <v>6</v>
      </c>
      <c r="P58" s="9">
        <v>0</v>
      </c>
      <c r="Q58" s="9">
        <v>0</v>
      </c>
      <c r="R58" s="10">
        <v>0.4</v>
      </c>
    </row>
    <row r="59" spans="1:18" ht="15.75">
      <c r="A59" s="19"/>
      <c r="B59" s="180" t="s">
        <v>34</v>
      </c>
      <c r="C59" s="22">
        <v>0.44</v>
      </c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6.5" thickBot="1">
      <c r="A60" s="5"/>
      <c r="B60" s="166" t="s">
        <v>29</v>
      </c>
      <c r="C60" s="139">
        <v>13</v>
      </c>
      <c r="D60" s="139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16.5" thickBot="1">
      <c r="A61" s="23" t="s">
        <v>35</v>
      </c>
      <c r="B61" s="24" t="s">
        <v>36</v>
      </c>
      <c r="C61" s="25">
        <v>40</v>
      </c>
      <c r="D61" s="25">
        <v>15.2</v>
      </c>
      <c r="E61" s="25">
        <v>3.16</v>
      </c>
      <c r="F61" s="25"/>
      <c r="G61" s="25">
        <v>0.4</v>
      </c>
      <c r="H61" s="25">
        <v>0.4</v>
      </c>
      <c r="I61" s="25">
        <v>19.32</v>
      </c>
      <c r="J61" s="25">
        <v>93.52</v>
      </c>
      <c r="K61" s="25">
        <v>0.04</v>
      </c>
      <c r="L61" s="25"/>
      <c r="M61" s="25"/>
      <c r="N61" s="25">
        <v>0.52</v>
      </c>
      <c r="O61" s="25">
        <v>9.1999999999999993</v>
      </c>
      <c r="P61" s="25">
        <v>34.799999999999997</v>
      </c>
      <c r="Q61" s="25">
        <v>13.2</v>
      </c>
      <c r="R61" s="26">
        <v>0.44</v>
      </c>
    </row>
    <row r="62" spans="1:18" ht="16.5" thickBot="1">
      <c r="A62" s="19"/>
      <c r="B62" s="27" t="s">
        <v>37</v>
      </c>
      <c r="C62" s="21">
        <v>40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6.5" thickBot="1">
      <c r="A63" s="7"/>
      <c r="B63" s="8" t="s">
        <v>38</v>
      </c>
      <c r="C63" s="9">
        <v>75</v>
      </c>
      <c r="D63" s="9">
        <v>65.099999999999994</v>
      </c>
      <c r="E63" s="59">
        <v>0.68</v>
      </c>
      <c r="F63" s="59"/>
      <c r="G63" s="59">
        <v>0.08</v>
      </c>
      <c r="H63" s="59">
        <v>0.08</v>
      </c>
      <c r="I63" s="59">
        <v>7.13</v>
      </c>
      <c r="J63" s="59">
        <v>31.88</v>
      </c>
      <c r="K63" s="59">
        <v>0.03</v>
      </c>
      <c r="L63" s="59">
        <v>7.5</v>
      </c>
      <c r="M63" s="59"/>
      <c r="N63" s="59">
        <v>0.83</v>
      </c>
      <c r="O63" s="59">
        <v>15</v>
      </c>
      <c r="P63" s="59">
        <v>25.5</v>
      </c>
      <c r="Q63" s="59">
        <v>12</v>
      </c>
      <c r="R63" s="60">
        <v>0.45</v>
      </c>
    </row>
    <row r="64" spans="1:18" ht="16.5" thickBot="1">
      <c r="A64" s="55"/>
      <c r="B64" s="180" t="s">
        <v>255</v>
      </c>
      <c r="C64" s="135">
        <v>75</v>
      </c>
      <c r="D64" s="135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5"/>
    </row>
    <row r="65" spans="1:18" ht="16.5" thickBot="1">
      <c r="A65" s="82"/>
      <c r="B65" s="83" t="s">
        <v>40</v>
      </c>
      <c r="C65" s="84"/>
      <c r="D65" s="84">
        <f t="shared" ref="D65:R65" si="1">SUM(D32:D63)</f>
        <v>560.55999999999995</v>
      </c>
      <c r="E65" s="84">
        <f>SUM(E32:E63)</f>
        <v>22.41</v>
      </c>
      <c r="F65" s="84">
        <f t="shared" si="1"/>
        <v>9.1300000000000008</v>
      </c>
      <c r="G65" s="84">
        <f t="shared" si="1"/>
        <v>23.859999999999996</v>
      </c>
      <c r="H65" s="84">
        <f t="shared" si="1"/>
        <v>16.549999999999997</v>
      </c>
      <c r="I65" s="84">
        <f t="shared" si="1"/>
        <v>99.85</v>
      </c>
      <c r="J65" s="84">
        <f t="shared" si="1"/>
        <v>675.57</v>
      </c>
      <c r="K65" s="84">
        <f t="shared" si="1"/>
        <v>0.47</v>
      </c>
      <c r="L65" s="84">
        <f t="shared" si="1"/>
        <v>34.730000000000004</v>
      </c>
      <c r="M65" s="84">
        <f t="shared" si="1"/>
        <v>41.8</v>
      </c>
      <c r="N65" s="84">
        <f t="shared" si="1"/>
        <v>9.23</v>
      </c>
      <c r="O65" s="84">
        <f t="shared" si="1"/>
        <v>108.10000000000001</v>
      </c>
      <c r="P65" s="84">
        <f t="shared" si="1"/>
        <v>417.83</v>
      </c>
      <c r="Q65" s="84">
        <f t="shared" si="1"/>
        <v>126.36000000000001</v>
      </c>
      <c r="R65" s="84">
        <f t="shared" si="1"/>
        <v>5.2300000000000013</v>
      </c>
    </row>
    <row r="66" spans="1:18" ht="16.5" thickBot="1">
      <c r="A66" s="64"/>
      <c r="B66" s="65" t="s">
        <v>57</v>
      </c>
      <c r="C66" s="66"/>
      <c r="D66" s="66">
        <f t="shared" ref="D66:R66" si="2">D30+D65</f>
        <v>753.16</v>
      </c>
      <c r="E66" s="66">
        <f t="shared" si="2"/>
        <v>39.709999999999994</v>
      </c>
      <c r="F66" s="66">
        <f t="shared" si="2"/>
        <v>12.010000000000002</v>
      </c>
      <c r="G66" s="66">
        <f t="shared" si="2"/>
        <v>43.709999999999994</v>
      </c>
      <c r="H66" s="66">
        <f t="shared" si="2"/>
        <v>18.319999999999997</v>
      </c>
      <c r="I66" s="66">
        <f t="shared" si="2"/>
        <v>167.125</v>
      </c>
      <c r="J66" s="66">
        <f t="shared" si="2"/>
        <v>1208.1400000000001</v>
      </c>
      <c r="K66" s="66">
        <f t="shared" si="2"/>
        <v>0.99</v>
      </c>
      <c r="L66" s="66">
        <f t="shared" si="2"/>
        <v>38.255000000000003</v>
      </c>
      <c r="M66" s="66">
        <f t="shared" si="2"/>
        <v>113.645</v>
      </c>
      <c r="N66" s="66">
        <f t="shared" si="2"/>
        <v>10.15</v>
      </c>
      <c r="O66" s="66">
        <f t="shared" si="2"/>
        <v>485.52000000000004</v>
      </c>
      <c r="P66" s="66">
        <f t="shared" si="2"/>
        <v>818.56999999999994</v>
      </c>
      <c r="Q66" s="66">
        <f t="shared" si="2"/>
        <v>202.185</v>
      </c>
      <c r="R66" s="66">
        <f t="shared" si="2"/>
        <v>7.6250000000000018</v>
      </c>
    </row>
  </sheetData>
  <mergeCells count="15">
    <mergeCell ref="B3:Q3"/>
    <mergeCell ref="B4:Q4"/>
    <mergeCell ref="B31:R31"/>
    <mergeCell ref="G1:G2"/>
    <mergeCell ref="H1:H2"/>
    <mergeCell ref="I1:I2"/>
    <mergeCell ref="J1:J2"/>
    <mergeCell ref="K1:N1"/>
    <mergeCell ref="O1:R1"/>
    <mergeCell ref="F1:F2"/>
    <mergeCell ref="A1:A2"/>
    <mergeCell ref="B1:B2"/>
    <mergeCell ref="C1:C2"/>
    <mergeCell ref="D1:D2"/>
    <mergeCell ref="E1:E2"/>
  </mergeCells>
  <printOptions horizontalCentered="1" verticalCentered="1"/>
  <pageMargins left="0" right="0" top="0" bottom="0" header="0" footer="0"/>
  <pageSetup paperSize="9" scale="5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8"/>
  <sheetViews>
    <sheetView view="pageBreakPreview" zoomScale="60" zoomScaleNormal="100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A49" sqref="A49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  <col min="26" max="26" width="8" customWidth="1"/>
  </cols>
  <sheetData>
    <row r="1" spans="1:30" ht="15.75">
      <c r="A1" s="232" t="s">
        <v>0</v>
      </c>
      <c r="B1" s="233" t="s">
        <v>1</v>
      </c>
      <c r="C1" s="234" t="s">
        <v>2</v>
      </c>
      <c r="D1" s="244" t="s">
        <v>3</v>
      </c>
      <c r="E1" s="241" t="s">
        <v>4</v>
      </c>
      <c r="F1" s="239" t="s">
        <v>5</v>
      </c>
      <c r="G1" s="241" t="s">
        <v>6</v>
      </c>
      <c r="H1" s="239" t="s">
        <v>7</v>
      </c>
      <c r="I1" s="234" t="s">
        <v>8</v>
      </c>
      <c r="J1" s="234" t="s">
        <v>9</v>
      </c>
      <c r="K1" s="237" t="s">
        <v>10</v>
      </c>
      <c r="L1" s="237"/>
      <c r="M1" s="237"/>
      <c r="N1" s="237"/>
      <c r="O1" s="237" t="s">
        <v>11</v>
      </c>
      <c r="P1" s="237"/>
      <c r="Q1" s="237"/>
      <c r="R1" s="237"/>
    </row>
    <row r="2" spans="1:30" ht="72" customHeight="1">
      <c r="A2" s="232"/>
      <c r="B2" s="233"/>
      <c r="C2" s="234"/>
      <c r="D2" s="245"/>
      <c r="E2" s="241"/>
      <c r="F2" s="240"/>
      <c r="G2" s="241"/>
      <c r="H2" s="240"/>
      <c r="I2" s="234"/>
      <c r="J2" s="234"/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2" t="s">
        <v>4</v>
      </c>
      <c r="T2" s="2" t="s">
        <v>6</v>
      </c>
      <c r="U2" s="2" t="s">
        <v>8</v>
      </c>
      <c r="V2" s="2" t="s">
        <v>9</v>
      </c>
      <c r="W2" s="237" t="s">
        <v>10</v>
      </c>
      <c r="X2" s="237"/>
      <c r="Y2" s="237"/>
      <c r="Z2" s="237"/>
      <c r="AA2" s="237" t="s">
        <v>11</v>
      </c>
      <c r="AB2" s="237"/>
      <c r="AC2" s="237"/>
      <c r="AD2" s="237"/>
    </row>
    <row r="3" spans="1:30" ht="15.75">
      <c r="A3" s="15"/>
      <c r="B3" s="246" t="s">
        <v>205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86"/>
    </row>
    <row r="4" spans="1:30" ht="16.5" thickBot="1">
      <c r="A4" s="15"/>
      <c r="B4" s="246" t="s">
        <v>21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86"/>
    </row>
    <row r="5" spans="1:30" ht="33" customHeight="1" thickBot="1">
      <c r="A5" s="23" t="s">
        <v>309</v>
      </c>
      <c r="B5" s="24" t="s">
        <v>308</v>
      </c>
      <c r="C5" s="25">
        <v>200</v>
      </c>
      <c r="D5" s="25">
        <v>146.69999999999999</v>
      </c>
      <c r="E5" s="25">
        <v>6.1</v>
      </c>
      <c r="F5" s="25">
        <v>4.58</v>
      </c>
      <c r="G5" s="25">
        <v>4</v>
      </c>
      <c r="H5" s="25">
        <v>3.06</v>
      </c>
      <c r="I5" s="25">
        <v>36.96</v>
      </c>
      <c r="J5" s="25">
        <v>208.25</v>
      </c>
      <c r="K5" s="25">
        <v>0.22</v>
      </c>
      <c r="L5" s="25">
        <v>2.08</v>
      </c>
      <c r="M5" s="25">
        <v>32</v>
      </c>
      <c r="N5" s="25">
        <v>0.86</v>
      </c>
      <c r="O5" s="25">
        <v>221.6</v>
      </c>
      <c r="P5" s="25">
        <v>315.39999999999998</v>
      </c>
      <c r="Q5" s="25">
        <v>79.599999999999994</v>
      </c>
      <c r="R5" s="26">
        <v>2.1</v>
      </c>
    </row>
    <row r="6" spans="1:30" ht="19.5" customHeight="1">
      <c r="A6" s="3"/>
      <c r="B6" s="87" t="s">
        <v>79</v>
      </c>
      <c r="C6" s="12">
        <v>25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30" ht="19.5" customHeight="1">
      <c r="A7" s="15"/>
      <c r="B7" s="88" t="s">
        <v>54</v>
      </c>
      <c r="C7" s="18">
        <v>55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30" ht="19.5" customHeight="1">
      <c r="A8" s="15"/>
      <c r="B8" s="88" t="s">
        <v>71</v>
      </c>
      <c r="C8" s="18">
        <v>180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30" ht="19.5" customHeight="1">
      <c r="A9" s="15"/>
      <c r="B9" s="88" t="s">
        <v>29</v>
      </c>
      <c r="C9" s="18">
        <v>6.5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30" ht="19.5" customHeight="1" thickBot="1">
      <c r="A10" s="5"/>
      <c r="B10" s="89" t="s">
        <v>53</v>
      </c>
      <c r="C10" s="14">
        <v>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30" ht="16.5" thickBot="1">
      <c r="A11" s="23"/>
      <c r="B11" s="24" t="s">
        <v>72</v>
      </c>
      <c r="C11" s="25">
        <v>20</v>
      </c>
      <c r="D11" s="25">
        <v>8.6</v>
      </c>
      <c r="E11" s="25">
        <f>6.96/30*20</f>
        <v>4.6400000000000006</v>
      </c>
      <c r="F11" s="25">
        <v>4.6399999999999997</v>
      </c>
      <c r="G11" s="25">
        <f>8.85/30*20</f>
        <v>5.8999999999999995</v>
      </c>
      <c r="H11" s="25">
        <v>0</v>
      </c>
      <c r="I11" s="25">
        <v>0</v>
      </c>
      <c r="J11" s="25">
        <v>71.66</v>
      </c>
      <c r="K11" s="25">
        <v>0.01</v>
      </c>
      <c r="L11" s="25">
        <v>0.14000000000000001</v>
      </c>
      <c r="M11" s="25">
        <f>78/30*20</f>
        <v>52</v>
      </c>
      <c r="N11" s="25">
        <v>0.1</v>
      </c>
      <c r="O11" s="25">
        <f>264/30*20</f>
        <v>176</v>
      </c>
      <c r="P11" s="25">
        <f>150/30*20</f>
        <v>100</v>
      </c>
      <c r="Q11" s="25">
        <f>10.5/30*20</f>
        <v>7</v>
      </c>
      <c r="R11" s="26">
        <f>0.3/30*20</f>
        <v>0.2</v>
      </c>
    </row>
    <row r="12" spans="1:30" ht="16.5" thickBot="1">
      <c r="A12" s="19"/>
      <c r="B12" s="27" t="s">
        <v>73</v>
      </c>
      <c r="C12" s="21">
        <v>20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30" ht="16.5" thickBot="1">
      <c r="A13" s="23"/>
      <c r="B13" s="24" t="s">
        <v>80</v>
      </c>
      <c r="C13" s="25">
        <v>10</v>
      </c>
      <c r="D13" s="25">
        <v>2.6</v>
      </c>
      <c r="E13" s="25">
        <v>0.1</v>
      </c>
      <c r="F13" s="25">
        <v>0.1</v>
      </c>
      <c r="G13" s="25">
        <v>7.2</v>
      </c>
      <c r="H13" s="25"/>
      <c r="I13" s="25">
        <v>0.13</v>
      </c>
      <c r="J13" s="25">
        <v>65.72</v>
      </c>
      <c r="K13" s="25">
        <v>0</v>
      </c>
      <c r="L13" s="25">
        <v>0</v>
      </c>
      <c r="M13" s="25">
        <v>40</v>
      </c>
      <c r="N13" s="25">
        <v>0.1</v>
      </c>
      <c r="O13" s="25">
        <v>2.4</v>
      </c>
      <c r="P13" s="25">
        <v>3</v>
      </c>
      <c r="Q13" s="25">
        <v>0</v>
      </c>
      <c r="R13" s="26"/>
    </row>
    <row r="14" spans="1:30" ht="16.5" thickBot="1">
      <c r="A14" s="19"/>
      <c r="B14" s="27" t="s">
        <v>80</v>
      </c>
      <c r="C14" s="21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30" ht="16.5" thickBot="1">
      <c r="A15" s="7" t="s">
        <v>310</v>
      </c>
      <c r="B15" s="8" t="s">
        <v>81</v>
      </c>
      <c r="C15" s="9">
        <v>200</v>
      </c>
      <c r="D15" s="9">
        <v>203.2</v>
      </c>
      <c r="E15" s="59">
        <v>0.53</v>
      </c>
      <c r="F15" s="59"/>
      <c r="G15" s="59"/>
      <c r="H15" s="59"/>
      <c r="I15" s="59">
        <v>9.8699999999999992</v>
      </c>
      <c r="J15" s="59">
        <v>41.6</v>
      </c>
      <c r="K15" s="59"/>
      <c r="L15" s="59">
        <v>2.13</v>
      </c>
      <c r="M15" s="59"/>
      <c r="N15" s="59"/>
      <c r="O15" s="59">
        <v>15.33</v>
      </c>
      <c r="P15" s="59">
        <v>23.2</v>
      </c>
      <c r="Q15" s="59">
        <v>12.27</v>
      </c>
      <c r="R15" s="60">
        <v>2.13</v>
      </c>
    </row>
    <row r="16" spans="1:30" ht="15.75">
      <c r="A16" s="3"/>
      <c r="B16" s="87" t="s">
        <v>34</v>
      </c>
      <c r="C16" s="11">
        <v>0.44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30" ht="15.75">
      <c r="A17" s="15"/>
      <c r="B17" s="88" t="s">
        <v>54</v>
      </c>
      <c r="C17" s="17">
        <v>150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30" ht="15.75">
      <c r="A18" s="5"/>
      <c r="B18" s="89" t="s">
        <v>29</v>
      </c>
      <c r="C18" s="13">
        <v>13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30" ht="16.5" thickBot="1">
      <c r="A19" s="5"/>
      <c r="B19" s="89" t="s">
        <v>82</v>
      </c>
      <c r="C19" s="13">
        <v>8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30" ht="16.5" thickBot="1">
      <c r="A20" s="23" t="s">
        <v>35</v>
      </c>
      <c r="B20" s="24" t="s">
        <v>36</v>
      </c>
      <c r="C20" s="25">
        <v>40</v>
      </c>
      <c r="D20" s="25">
        <v>15.2</v>
      </c>
      <c r="E20" s="25">
        <v>3.16</v>
      </c>
      <c r="F20" s="25"/>
      <c r="G20" s="25">
        <v>0.4</v>
      </c>
      <c r="H20" s="25">
        <v>0.4</v>
      </c>
      <c r="I20" s="25">
        <v>19.32</v>
      </c>
      <c r="J20" s="25">
        <v>93.52</v>
      </c>
      <c r="K20" s="25">
        <v>0.04</v>
      </c>
      <c r="L20" s="25"/>
      <c r="M20" s="25"/>
      <c r="N20" s="25">
        <v>0.52</v>
      </c>
      <c r="O20" s="25">
        <v>9.1999999999999993</v>
      </c>
      <c r="P20" s="25">
        <v>34.799999999999997</v>
      </c>
      <c r="Q20" s="25">
        <v>13.2</v>
      </c>
      <c r="R20" s="26">
        <v>0.44</v>
      </c>
    </row>
    <row r="21" spans="1:30" ht="16.5" thickBot="1">
      <c r="A21" s="19"/>
      <c r="B21" s="27" t="s">
        <v>37</v>
      </c>
      <c r="C21" s="21">
        <v>40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>
        <v>77</v>
      </c>
      <c r="T21">
        <v>79</v>
      </c>
      <c r="U21">
        <v>335</v>
      </c>
      <c r="V21">
        <v>2350</v>
      </c>
      <c r="W21">
        <v>1.2</v>
      </c>
      <c r="X21">
        <v>60</v>
      </c>
      <c r="Y21">
        <v>0.7</v>
      </c>
      <c r="Z21">
        <v>10</v>
      </c>
      <c r="AA21">
        <v>1100</v>
      </c>
      <c r="AB21">
        <v>1650</v>
      </c>
      <c r="AC21">
        <v>250</v>
      </c>
      <c r="AD21">
        <v>12</v>
      </c>
    </row>
    <row r="22" spans="1:30" ht="16.5" thickBot="1">
      <c r="A22" s="7"/>
      <c r="B22" s="62" t="s">
        <v>38</v>
      </c>
      <c r="C22" s="59">
        <v>75</v>
      </c>
      <c r="D22" s="59">
        <v>66.099999999999994</v>
      </c>
      <c r="E22" s="59">
        <v>0.64</v>
      </c>
      <c r="F22" s="59"/>
      <c r="G22" s="59">
        <v>0.11</v>
      </c>
      <c r="H22" s="59">
        <v>0.11</v>
      </c>
      <c r="I22" s="59">
        <v>6.11</v>
      </c>
      <c r="J22" s="59">
        <v>27.96</v>
      </c>
      <c r="K22" s="59">
        <v>0.03</v>
      </c>
      <c r="L22" s="59">
        <v>45</v>
      </c>
      <c r="M22" s="59"/>
      <c r="N22" s="59">
        <v>0.03</v>
      </c>
      <c r="O22" s="59">
        <v>25.71</v>
      </c>
      <c r="P22" s="59">
        <v>17.14</v>
      </c>
      <c r="Q22" s="59">
        <v>9.64</v>
      </c>
      <c r="R22" s="60">
        <v>0.21</v>
      </c>
    </row>
    <row r="23" spans="1:30" ht="16.5" thickBot="1">
      <c r="A23" s="55"/>
      <c r="B23" s="27" t="s">
        <v>88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63"/>
    </row>
    <row r="24" spans="1:30" ht="16.5" thickBot="1">
      <c r="A24" s="36"/>
      <c r="B24" s="37" t="s">
        <v>40</v>
      </c>
      <c r="C24" s="38"/>
      <c r="D24" s="38">
        <f t="shared" ref="D24:R24" si="0">SUM(D5:D23)</f>
        <v>442.4</v>
      </c>
      <c r="E24" s="38">
        <f t="shared" si="0"/>
        <v>15.17</v>
      </c>
      <c r="F24" s="38">
        <f t="shared" si="0"/>
        <v>9.3199999999999985</v>
      </c>
      <c r="G24" s="38">
        <f t="shared" si="0"/>
        <v>17.609999999999996</v>
      </c>
      <c r="H24" s="38">
        <f t="shared" si="0"/>
        <v>3.57</v>
      </c>
      <c r="I24" s="38">
        <f t="shared" si="0"/>
        <v>72.39</v>
      </c>
      <c r="J24" s="38">
        <f t="shared" si="0"/>
        <v>508.71</v>
      </c>
      <c r="K24" s="38">
        <f t="shared" si="0"/>
        <v>0.30000000000000004</v>
      </c>
      <c r="L24" s="38">
        <f t="shared" si="0"/>
        <v>49.35</v>
      </c>
      <c r="M24" s="38">
        <f t="shared" si="0"/>
        <v>124</v>
      </c>
      <c r="N24" s="38">
        <f t="shared" si="0"/>
        <v>1.61</v>
      </c>
      <c r="O24" s="38">
        <f t="shared" si="0"/>
        <v>450.23999999999995</v>
      </c>
      <c r="P24" s="38">
        <f t="shared" si="0"/>
        <v>493.53999999999996</v>
      </c>
      <c r="Q24" s="38">
        <f t="shared" si="0"/>
        <v>121.71</v>
      </c>
      <c r="R24" s="38">
        <f t="shared" si="0"/>
        <v>5.08</v>
      </c>
    </row>
    <row r="25" spans="1:30" ht="16.5" thickBot="1">
      <c r="A25" s="3"/>
      <c r="B25" s="249" t="s">
        <v>41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90"/>
    </row>
    <row r="26" spans="1:30" ht="32.25" thickBot="1">
      <c r="A26" s="7" t="s">
        <v>273</v>
      </c>
      <c r="B26" s="8" t="s">
        <v>265</v>
      </c>
      <c r="C26" s="9">
        <v>100</v>
      </c>
      <c r="D26" s="9">
        <v>62.8</v>
      </c>
      <c r="E26" s="79">
        <v>1.66</v>
      </c>
      <c r="F26" s="79">
        <v>0.78</v>
      </c>
      <c r="G26" s="79">
        <v>7.09</v>
      </c>
      <c r="H26" s="79">
        <v>4.0599999999999996</v>
      </c>
      <c r="I26" s="79">
        <v>8.5</v>
      </c>
      <c r="J26" s="79">
        <v>103.53</v>
      </c>
      <c r="K26" s="79">
        <v>0.02</v>
      </c>
      <c r="L26" s="79">
        <v>36.590000000000003</v>
      </c>
      <c r="M26" s="79">
        <v>0</v>
      </c>
      <c r="N26" s="79">
        <v>0</v>
      </c>
      <c r="O26" s="79">
        <v>36.590000000000003</v>
      </c>
      <c r="P26" s="79">
        <v>43.81</v>
      </c>
      <c r="Q26" s="79">
        <v>21.52</v>
      </c>
      <c r="R26" s="80">
        <v>1.53</v>
      </c>
    </row>
    <row r="27" spans="1:30" ht="15.75">
      <c r="A27" s="47"/>
      <c r="B27" s="88" t="s">
        <v>46</v>
      </c>
      <c r="C27" s="18">
        <v>82.64</v>
      </c>
      <c r="D27" s="1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30" ht="16.5" thickBot="1">
      <c r="A28" s="48"/>
      <c r="B28" s="89" t="s">
        <v>44</v>
      </c>
      <c r="C28" s="14">
        <f>50/1000*80</f>
        <v>4</v>
      </c>
      <c r="D28" s="1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30" ht="16.5" thickBot="1">
      <c r="A29" s="7" t="s">
        <v>311</v>
      </c>
      <c r="B29" s="8" t="s">
        <v>84</v>
      </c>
      <c r="C29" s="9">
        <v>250</v>
      </c>
      <c r="D29" s="9">
        <v>231.1</v>
      </c>
      <c r="E29" s="79">
        <v>1.8</v>
      </c>
      <c r="F29" s="79"/>
      <c r="G29" s="79">
        <v>4.9800000000000004</v>
      </c>
      <c r="H29" s="79">
        <v>4.9800000000000004</v>
      </c>
      <c r="I29" s="79">
        <v>8.1300000000000008</v>
      </c>
      <c r="J29" s="79">
        <v>84.48</v>
      </c>
      <c r="K29" s="79">
        <v>0.08</v>
      </c>
      <c r="L29" s="79">
        <v>18.48</v>
      </c>
      <c r="M29" s="79"/>
      <c r="N29" s="79">
        <v>2.38</v>
      </c>
      <c r="O29" s="79">
        <v>33.979999999999997</v>
      </c>
      <c r="P29" s="79">
        <v>47.43</v>
      </c>
      <c r="Q29" s="79">
        <v>22.2</v>
      </c>
      <c r="R29" s="80">
        <v>0.83</v>
      </c>
    </row>
    <row r="30" spans="1:30" ht="15.75">
      <c r="A30" s="3"/>
      <c r="B30" s="125" t="s">
        <v>24</v>
      </c>
      <c r="C30" s="12">
        <f>250/4</f>
        <v>62.5</v>
      </c>
      <c r="D30" s="12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30" ht="15.75">
      <c r="A31" s="15"/>
      <c r="B31" s="126" t="s">
        <v>48</v>
      </c>
      <c r="C31" s="18">
        <f>160/4</f>
        <v>40</v>
      </c>
      <c r="D31" s="1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30" ht="15.75">
      <c r="A32" s="15"/>
      <c r="B32" s="126" t="s">
        <v>25</v>
      </c>
      <c r="C32" s="18">
        <f>50/4</f>
        <v>12.5</v>
      </c>
      <c r="D32" s="18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>
      <c r="A33" s="5"/>
      <c r="B33" s="127" t="s">
        <v>49</v>
      </c>
      <c r="C33" s="14">
        <v>12</v>
      </c>
      <c r="D33" s="14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15.75">
      <c r="A34" s="5"/>
      <c r="B34" s="127" t="s">
        <v>27</v>
      </c>
      <c r="C34" s="14">
        <f>10/4</f>
        <v>2.5</v>
      </c>
      <c r="D34" s="1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15.75">
      <c r="A35" s="5"/>
      <c r="B35" s="127" t="s">
        <v>44</v>
      </c>
      <c r="C35" s="14">
        <v>5</v>
      </c>
      <c r="D35" s="1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6.5" thickBot="1">
      <c r="A36" s="5"/>
      <c r="B36" s="127" t="s">
        <v>50</v>
      </c>
      <c r="C36" s="14">
        <v>200</v>
      </c>
      <c r="D36" s="1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ht="16.5" thickBot="1">
      <c r="A37" s="7" t="s">
        <v>313</v>
      </c>
      <c r="B37" s="8" t="s">
        <v>312</v>
      </c>
      <c r="C37" s="9">
        <v>100</v>
      </c>
      <c r="D37" s="9">
        <v>74.3</v>
      </c>
      <c r="E37" s="79">
        <v>13.5</v>
      </c>
      <c r="F37" s="79">
        <v>13.5</v>
      </c>
      <c r="G37" s="79">
        <v>9.1999999999999993</v>
      </c>
      <c r="H37" s="79"/>
      <c r="I37" s="79">
        <v>8.6</v>
      </c>
      <c r="J37" s="79">
        <v>171.2</v>
      </c>
      <c r="K37" s="79">
        <v>0.19</v>
      </c>
      <c r="L37" s="79">
        <v>12.7</v>
      </c>
      <c r="M37" s="79">
        <v>5240</v>
      </c>
      <c r="N37" s="79">
        <v>1</v>
      </c>
      <c r="O37" s="79">
        <v>30</v>
      </c>
      <c r="P37" s="79">
        <v>239</v>
      </c>
      <c r="Q37" s="79">
        <v>17</v>
      </c>
      <c r="R37" s="80">
        <v>5</v>
      </c>
    </row>
    <row r="38" spans="1:18" ht="15.75">
      <c r="A38" s="3"/>
      <c r="B38" s="87" t="s">
        <v>85</v>
      </c>
      <c r="C38" s="12">
        <v>86</v>
      </c>
      <c r="D38" s="12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15.75">
      <c r="A39" s="15"/>
      <c r="B39" s="88" t="s">
        <v>28</v>
      </c>
      <c r="C39" s="18">
        <v>3</v>
      </c>
      <c r="D39" s="18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5.75">
      <c r="A40" s="15"/>
      <c r="B40" s="88" t="s">
        <v>44</v>
      </c>
      <c r="C40" s="18">
        <v>5</v>
      </c>
      <c r="D40" s="18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5.75">
      <c r="A41" s="5"/>
      <c r="B41" s="89" t="s">
        <v>86</v>
      </c>
      <c r="C41" s="14">
        <f>250/1000*40</f>
        <v>10</v>
      </c>
      <c r="D41" s="14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ht="15.75">
      <c r="A42" s="5"/>
      <c r="B42" s="89" t="s">
        <v>28</v>
      </c>
      <c r="C42" s="14">
        <f>75/1000*40</f>
        <v>3</v>
      </c>
      <c r="D42" s="14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15.75">
      <c r="A43" s="5"/>
      <c r="B43" s="89" t="s">
        <v>49</v>
      </c>
      <c r="C43" s="14">
        <f>238/1000*40</f>
        <v>9.52</v>
      </c>
      <c r="D43" s="1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16.5" thickBot="1">
      <c r="A44" s="5"/>
      <c r="B44" s="89" t="s">
        <v>53</v>
      </c>
      <c r="C44" s="14">
        <f>20/4</f>
        <v>5</v>
      </c>
      <c r="D44" s="14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ht="16.5" thickBot="1">
      <c r="A45" s="7" t="s">
        <v>314</v>
      </c>
      <c r="B45" s="8" t="s">
        <v>87</v>
      </c>
      <c r="C45" s="9">
        <v>150</v>
      </c>
      <c r="D45" s="9">
        <v>121</v>
      </c>
      <c r="E45" s="9">
        <v>3.08</v>
      </c>
      <c r="F45" s="9">
        <v>0.04</v>
      </c>
      <c r="G45" s="9">
        <v>2.33</v>
      </c>
      <c r="H45" s="9"/>
      <c r="I45" s="9">
        <v>19.13</v>
      </c>
      <c r="J45" s="9">
        <v>109.73</v>
      </c>
      <c r="K45" s="9">
        <v>1.1599999999999999</v>
      </c>
      <c r="L45" s="9">
        <v>3.75</v>
      </c>
      <c r="M45" s="9">
        <v>33.15</v>
      </c>
      <c r="N45" s="9">
        <v>0.15</v>
      </c>
      <c r="O45" s="9">
        <v>38.25</v>
      </c>
      <c r="P45" s="9">
        <v>76.95</v>
      </c>
      <c r="Q45" s="9">
        <v>26.7</v>
      </c>
      <c r="R45" s="10">
        <v>0.86</v>
      </c>
    </row>
    <row r="46" spans="1:18" ht="15.75">
      <c r="A46" s="3"/>
      <c r="B46" s="87" t="s">
        <v>48</v>
      </c>
      <c r="C46" s="12">
        <v>145</v>
      </c>
      <c r="D46" s="1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.75">
      <c r="A47" s="15"/>
      <c r="B47" s="88" t="s">
        <v>71</v>
      </c>
      <c r="C47" s="18">
        <f>158/1000*150</f>
        <v>23.7</v>
      </c>
      <c r="D47" s="18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6.5" thickBot="1">
      <c r="A48" s="15"/>
      <c r="B48" s="88" t="s">
        <v>53</v>
      </c>
      <c r="C48" s="18">
        <f>35/1000*150</f>
        <v>5.2500000000000009</v>
      </c>
      <c r="D48" s="18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30" ht="16.5" thickBot="1">
      <c r="A49" s="23" t="s">
        <v>298</v>
      </c>
      <c r="B49" s="24" t="s">
        <v>281</v>
      </c>
      <c r="C49" s="25">
        <v>200</v>
      </c>
      <c r="D49" s="25">
        <v>146.80000000000001</v>
      </c>
      <c r="E49" s="44">
        <v>1.1599999999999999</v>
      </c>
      <c r="F49" s="44"/>
      <c r="G49" s="44">
        <v>0.3</v>
      </c>
      <c r="H49" s="44">
        <v>0.3</v>
      </c>
      <c r="I49" s="44">
        <v>47.26</v>
      </c>
      <c r="J49" s="44">
        <v>196.38</v>
      </c>
      <c r="K49" s="44">
        <v>0.02</v>
      </c>
      <c r="L49" s="44">
        <v>0.8</v>
      </c>
      <c r="M49" s="44"/>
      <c r="N49" s="44">
        <v>0.2</v>
      </c>
      <c r="O49" s="44">
        <v>5.84</v>
      </c>
      <c r="P49" s="44">
        <v>46</v>
      </c>
      <c r="Q49" s="44">
        <v>33</v>
      </c>
      <c r="R49" s="45">
        <v>0.96</v>
      </c>
    </row>
    <row r="50" spans="1:30" ht="15.75">
      <c r="A50" s="3"/>
      <c r="B50" s="87" t="s">
        <v>264</v>
      </c>
      <c r="C50" s="12">
        <f>100/1000*200</f>
        <v>20</v>
      </c>
      <c r="D50" s="1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30" ht="15.75">
      <c r="A51" s="15"/>
      <c r="B51" s="88" t="s">
        <v>29</v>
      </c>
      <c r="C51" s="18">
        <v>16</v>
      </c>
      <c r="D51" s="18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30" ht="15.75">
      <c r="A52" s="5"/>
      <c r="B52" s="89" t="s">
        <v>55</v>
      </c>
      <c r="C52" s="14">
        <f>1/1000*200</f>
        <v>0.2</v>
      </c>
      <c r="D52" s="1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30" ht="16.5" thickBot="1">
      <c r="A53" s="5"/>
      <c r="B53" s="89" t="s">
        <v>54</v>
      </c>
      <c r="C53" s="14">
        <v>200</v>
      </c>
      <c r="D53" s="14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30" ht="16.5" thickBot="1">
      <c r="A54" s="23" t="s">
        <v>35</v>
      </c>
      <c r="B54" s="24" t="s">
        <v>36</v>
      </c>
      <c r="C54" s="25">
        <v>40</v>
      </c>
      <c r="D54" s="25">
        <v>15.2</v>
      </c>
      <c r="E54" s="25">
        <v>3.16</v>
      </c>
      <c r="F54" s="25"/>
      <c r="G54" s="25">
        <v>0.4</v>
      </c>
      <c r="H54" s="25">
        <v>0.4</v>
      </c>
      <c r="I54" s="25">
        <v>19.32</v>
      </c>
      <c r="J54" s="25">
        <v>93.52</v>
      </c>
      <c r="K54" s="25">
        <v>0.04</v>
      </c>
      <c r="L54" s="25"/>
      <c r="M54" s="25"/>
      <c r="N54" s="25">
        <v>0.52</v>
      </c>
      <c r="O54" s="25">
        <v>9.1999999999999993</v>
      </c>
      <c r="P54" s="25">
        <v>34.799999999999997</v>
      </c>
      <c r="Q54" s="25">
        <v>13.2</v>
      </c>
      <c r="R54" s="26">
        <v>0.44</v>
      </c>
    </row>
    <row r="55" spans="1:30" ht="18.75" customHeight="1" thickBot="1">
      <c r="A55" s="19"/>
      <c r="B55" s="27" t="s">
        <v>37</v>
      </c>
      <c r="C55" s="21">
        <v>40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>
        <v>77</v>
      </c>
      <c r="T55">
        <v>79</v>
      </c>
      <c r="U55">
        <v>335</v>
      </c>
      <c r="V55">
        <v>2350</v>
      </c>
      <c r="W55">
        <v>1.2</v>
      </c>
      <c r="X55">
        <v>60</v>
      </c>
      <c r="Y55">
        <v>0.7</v>
      </c>
      <c r="Z55">
        <v>10</v>
      </c>
      <c r="AA55">
        <v>1100</v>
      </c>
      <c r="AB55">
        <v>1650</v>
      </c>
      <c r="AC55">
        <v>250</v>
      </c>
      <c r="AD55">
        <v>12</v>
      </c>
    </row>
    <row r="56" spans="1:30" ht="16.5" thickBot="1">
      <c r="A56" s="64"/>
      <c r="B56" s="65" t="s">
        <v>40</v>
      </c>
      <c r="C56" s="66"/>
      <c r="D56" s="66">
        <f t="shared" ref="D56:R56" si="1">SUM(D26:D55)</f>
        <v>651.20000000000005</v>
      </c>
      <c r="E56" s="66">
        <f t="shared" si="1"/>
        <v>24.36</v>
      </c>
      <c r="F56" s="66">
        <f t="shared" si="1"/>
        <v>14.319999999999999</v>
      </c>
      <c r="G56" s="66">
        <f t="shared" si="1"/>
        <v>24.3</v>
      </c>
      <c r="H56" s="66">
        <f t="shared" si="1"/>
        <v>9.74</v>
      </c>
      <c r="I56" s="66">
        <f t="shared" si="1"/>
        <v>110.94</v>
      </c>
      <c r="J56" s="66">
        <f t="shared" si="1"/>
        <v>758.83999999999992</v>
      </c>
      <c r="K56" s="66">
        <f t="shared" si="1"/>
        <v>1.51</v>
      </c>
      <c r="L56" s="66">
        <f t="shared" si="1"/>
        <v>72.320000000000007</v>
      </c>
      <c r="M56" s="66">
        <f t="shared" si="1"/>
        <v>5273.15</v>
      </c>
      <c r="N56" s="66">
        <f t="shared" si="1"/>
        <v>4.25</v>
      </c>
      <c r="O56" s="66">
        <f t="shared" si="1"/>
        <v>153.85999999999999</v>
      </c>
      <c r="P56" s="66">
        <f t="shared" si="1"/>
        <v>487.99</v>
      </c>
      <c r="Q56" s="66">
        <f t="shared" si="1"/>
        <v>133.62</v>
      </c>
      <c r="R56" s="66">
        <f t="shared" si="1"/>
        <v>9.6199999999999992</v>
      </c>
    </row>
    <row r="57" spans="1:30" ht="15.75">
      <c r="A57" s="94"/>
      <c r="B57" s="95" t="s">
        <v>57</v>
      </c>
      <c r="C57" s="96"/>
      <c r="D57" s="96">
        <f t="shared" ref="D57:R57" si="2">D56+D24</f>
        <v>1093.5999999999999</v>
      </c>
      <c r="E57" s="96">
        <f t="shared" si="2"/>
        <v>39.53</v>
      </c>
      <c r="F57" s="96">
        <f t="shared" si="2"/>
        <v>23.639999999999997</v>
      </c>
      <c r="G57" s="96">
        <f t="shared" si="2"/>
        <v>41.91</v>
      </c>
      <c r="H57" s="96">
        <f t="shared" si="2"/>
        <v>13.31</v>
      </c>
      <c r="I57" s="96">
        <f t="shared" si="2"/>
        <v>183.32999999999998</v>
      </c>
      <c r="J57" s="96">
        <f t="shared" si="2"/>
        <v>1267.55</v>
      </c>
      <c r="K57" s="96">
        <f t="shared" si="2"/>
        <v>1.81</v>
      </c>
      <c r="L57" s="96">
        <f t="shared" si="2"/>
        <v>121.67000000000002</v>
      </c>
      <c r="M57" s="96">
        <f t="shared" si="2"/>
        <v>5397.15</v>
      </c>
      <c r="N57" s="96">
        <f t="shared" si="2"/>
        <v>5.86</v>
      </c>
      <c r="O57" s="96">
        <f t="shared" si="2"/>
        <v>604.09999999999991</v>
      </c>
      <c r="P57" s="96">
        <f t="shared" si="2"/>
        <v>981.53</v>
      </c>
      <c r="Q57" s="96">
        <f t="shared" si="2"/>
        <v>255.32999999999998</v>
      </c>
      <c r="R57" s="96">
        <f t="shared" si="2"/>
        <v>14.7</v>
      </c>
    </row>
    <row r="58" spans="1:30" ht="15.75" thickBot="1">
      <c r="A58" s="97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0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</sheetData>
  <mergeCells count="17">
    <mergeCell ref="W2:Z2"/>
    <mergeCell ref="AA2:AD2"/>
    <mergeCell ref="B3:Q3"/>
    <mergeCell ref="B4:Q4"/>
    <mergeCell ref="B25:Q25"/>
    <mergeCell ref="G1:G2"/>
    <mergeCell ref="H1:H2"/>
    <mergeCell ref="I1:I2"/>
    <mergeCell ref="J1:J2"/>
    <mergeCell ref="K1:N1"/>
    <mergeCell ref="O1:R1"/>
    <mergeCell ref="F1:F2"/>
    <mergeCell ref="A1:A2"/>
    <mergeCell ref="B1:B2"/>
    <mergeCell ref="C1:C2"/>
    <mergeCell ref="D1:D2"/>
    <mergeCell ref="E1:E2"/>
  </mergeCells>
  <printOptions horizontalCentered="1" verticalCentered="1"/>
  <pageMargins left="0" right="0" top="0" bottom="0" header="0" footer="0"/>
  <pageSetup paperSize="9" scale="5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view="pageBreakPreview" zoomScale="60" zoomScaleNormal="50" workbookViewId="0">
      <pane xSplit="1" ySplit="2" topLeftCell="B19" activePane="bottomRight" state="frozen"/>
      <selection pane="topRight" activeCell="B1" sqref="B1"/>
      <selection pane="bottomLeft" activeCell="A3" sqref="A3"/>
      <selection pane="bottomRight" activeCell="A40" sqref="A40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</cols>
  <sheetData>
    <row r="1" spans="1:30" ht="15.75">
      <c r="A1" s="232" t="s">
        <v>0</v>
      </c>
      <c r="B1" s="233" t="s">
        <v>1</v>
      </c>
      <c r="C1" s="234" t="s">
        <v>2</v>
      </c>
      <c r="D1" s="235" t="s">
        <v>3</v>
      </c>
      <c r="E1" s="234" t="s">
        <v>4</v>
      </c>
      <c r="F1" s="250" t="s">
        <v>5</v>
      </c>
      <c r="G1" s="234" t="s">
        <v>6</v>
      </c>
      <c r="H1" s="250" t="s">
        <v>7</v>
      </c>
      <c r="I1" s="234" t="s">
        <v>8</v>
      </c>
      <c r="J1" s="234" t="s">
        <v>9</v>
      </c>
      <c r="K1" s="237" t="s">
        <v>10</v>
      </c>
      <c r="L1" s="237"/>
      <c r="M1" s="237"/>
      <c r="N1" s="237"/>
      <c r="O1" s="237" t="s">
        <v>11</v>
      </c>
      <c r="P1" s="237"/>
      <c r="Q1" s="237"/>
      <c r="R1" s="237"/>
    </row>
    <row r="2" spans="1:30" ht="72" customHeight="1">
      <c r="A2" s="232"/>
      <c r="B2" s="233"/>
      <c r="C2" s="234"/>
      <c r="D2" s="236"/>
      <c r="E2" s="234"/>
      <c r="F2" s="251"/>
      <c r="G2" s="234"/>
      <c r="H2" s="251"/>
      <c r="I2" s="234"/>
      <c r="J2" s="234"/>
      <c r="K2" s="111" t="s">
        <v>12</v>
      </c>
      <c r="L2" s="111" t="s">
        <v>13</v>
      </c>
      <c r="M2" s="111" t="s">
        <v>14</v>
      </c>
      <c r="N2" s="111" t="s">
        <v>15</v>
      </c>
      <c r="O2" s="111" t="s">
        <v>16</v>
      </c>
      <c r="P2" s="111" t="s">
        <v>17</v>
      </c>
      <c r="Q2" s="111" t="s">
        <v>18</v>
      </c>
      <c r="R2" s="111" t="s">
        <v>19</v>
      </c>
    </row>
    <row r="3" spans="1:30" ht="15.75">
      <c r="A3" s="3"/>
      <c r="B3" s="248" t="s">
        <v>252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4"/>
    </row>
    <row r="4" spans="1:30" ht="16.5" thickBot="1">
      <c r="A4" s="5"/>
      <c r="B4" s="247" t="s">
        <v>21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6"/>
    </row>
    <row r="5" spans="1:30" ht="16.5" thickBot="1">
      <c r="A5" s="7" t="s">
        <v>315</v>
      </c>
      <c r="B5" s="8" t="s">
        <v>187</v>
      </c>
      <c r="C5" s="9" t="s">
        <v>191</v>
      </c>
      <c r="D5" s="9"/>
      <c r="E5" s="9">
        <v>9.7100000000000009</v>
      </c>
      <c r="F5" s="9"/>
      <c r="G5" s="9">
        <f>7.36*1.5</f>
        <v>11.040000000000001</v>
      </c>
      <c r="H5" s="9"/>
      <c r="I5" s="9">
        <f>19.48*1.5</f>
        <v>29.22</v>
      </c>
      <c r="J5" s="9">
        <f>181.29*1.5</f>
        <v>271.935</v>
      </c>
      <c r="K5" s="9">
        <f>0.03*1.5</f>
        <v>4.4999999999999998E-2</v>
      </c>
      <c r="L5" s="9">
        <f>0.39*1.5</f>
        <v>0.58499999999999996</v>
      </c>
      <c r="M5" s="9">
        <f>0.05*1.5</f>
        <v>7.5000000000000011E-2</v>
      </c>
      <c r="N5" s="9">
        <v>0</v>
      </c>
      <c r="O5" s="9">
        <f>147*1.5</f>
        <v>220.5</v>
      </c>
      <c r="P5" s="9">
        <f>97.63*1.5</f>
        <v>146.44499999999999</v>
      </c>
      <c r="Q5" s="9">
        <f>12.02*1.5</f>
        <v>18.03</v>
      </c>
      <c r="R5" s="10">
        <f>0.69*1.5</f>
        <v>1.0349999999999999</v>
      </c>
    </row>
    <row r="6" spans="1:30" ht="15.75">
      <c r="A6" s="46"/>
      <c r="B6" s="87" t="s">
        <v>164</v>
      </c>
      <c r="C6" s="12">
        <v>30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30" ht="15.75">
      <c r="A7" s="47"/>
      <c r="B7" s="88" t="s">
        <v>192</v>
      </c>
      <c r="C7" s="18">
        <v>15</v>
      </c>
      <c r="D7" s="8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30" ht="15.75">
      <c r="A8" s="47"/>
      <c r="B8" s="88" t="s">
        <v>104</v>
      </c>
      <c r="C8" s="18">
        <f>0.5*1.5</f>
        <v>0.75</v>
      </c>
      <c r="D8" s="85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30" ht="16.5" thickBot="1">
      <c r="A9" s="48"/>
      <c r="B9" s="89" t="s">
        <v>53</v>
      </c>
      <c r="C9" s="14">
        <v>5</v>
      </c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30" ht="16.5" thickBot="1">
      <c r="A10" s="7"/>
      <c r="B10" s="8" t="s">
        <v>189</v>
      </c>
      <c r="C10" s="9">
        <v>250</v>
      </c>
      <c r="D10" s="9"/>
      <c r="E10" s="9">
        <f>5*1.25</f>
        <v>6.25</v>
      </c>
      <c r="F10" s="9"/>
      <c r="G10" s="9">
        <f>3.2*1.25</f>
        <v>4</v>
      </c>
      <c r="H10" s="9"/>
      <c r="I10" s="9">
        <f>3.5*1.25</f>
        <v>4.375</v>
      </c>
      <c r="J10" s="9">
        <f>68*1.25</f>
        <v>85</v>
      </c>
      <c r="K10" s="9">
        <f>0.04*1.25</f>
        <v>0.05</v>
      </c>
      <c r="L10" s="9">
        <f>0.6*1.25</f>
        <v>0.75</v>
      </c>
      <c r="M10" s="9">
        <f>22*1.25</f>
        <v>27.5</v>
      </c>
      <c r="N10" s="9"/>
      <c r="O10" s="9">
        <f>140*1.25</f>
        <v>175</v>
      </c>
      <c r="P10" s="9"/>
      <c r="Q10" s="9">
        <f>14*1.25</f>
        <v>17.5</v>
      </c>
      <c r="R10" s="10">
        <f>91*1.25</f>
        <v>113.75</v>
      </c>
    </row>
    <row r="11" spans="1:30" ht="16.5" thickBot="1">
      <c r="A11" s="56"/>
      <c r="B11" s="27" t="s">
        <v>190</v>
      </c>
      <c r="C11" s="132" t="s">
        <v>267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30" ht="16.5" thickBot="1">
      <c r="A12" s="23" t="s">
        <v>35</v>
      </c>
      <c r="B12" s="24" t="s">
        <v>36</v>
      </c>
      <c r="C12" s="25">
        <v>40</v>
      </c>
      <c r="D12" s="25">
        <v>15.2</v>
      </c>
      <c r="E12" s="25">
        <v>3.16</v>
      </c>
      <c r="F12" s="25"/>
      <c r="G12" s="25">
        <v>0.4</v>
      </c>
      <c r="H12" s="25">
        <v>0.4</v>
      </c>
      <c r="I12" s="25">
        <v>19.32</v>
      </c>
      <c r="J12" s="25">
        <v>93.52</v>
      </c>
      <c r="K12" s="25">
        <v>0.04</v>
      </c>
      <c r="L12" s="25"/>
      <c r="M12" s="25"/>
      <c r="N12" s="25">
        <v>0.52</v>
      </c>
      <c r="O12" s="25">
        <v>9.1999999999999993</v>
      </c>
      <c r="P12" s="25">
        <v>34.799999999999997</v>
      </c>
      <c r="Q12" s="25">
        <v>13.2</v>
      </c>
      <c r="R12" s="26">
        <v>0.44</v>
      </c>
    </row>
    <row r="13" spans="1:30" ht="16.5" thickBot="1">
      <c r="A13" s="56"/>
      <c r="B13" s="27" t="s">
        <v>37</v>
      </c>
      <c r="C13" s="21">
        <v>40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>
        <v>77</v>
      </c>
      <c r="T13">
        <v>79</v>
      </c>
      <c r="U13">
        <v>335</v>
      </c>
      <c r="V13">
        <v>2350</v>
      </c>
      <c r="W13">
        <v>1.2</v>
      </c>
      <c r="X13">
        <v>60</v>
      </c>
      <c r="Y13">
        <v>0.7</v>
      </c>
      <c r="Z13">
        <v>10</v>
      </c>
      <c r="AA13">
        <v>1100</v>
      </c>
      <c r="AB13">
        <v>1650</v>
      </c>
      <c r="AC13">
        <v>250</v>
      </c>
      <c r="AD13">
        <v>12</v>
      </c>
    </row>
    <row r="14" spans="1:30" s="31" customFormat="1" ht="16.5" thickBot="1">
      <c r="A14" s="7"/>
      <c r="B14" s="8" t="s">
        <v>38</v>
      </c>
      <c r="C14" s="28">
        <v>150</v>
      </c>
      <c r="D14" s="28">
        <f>64.1*2</f>
        <v>128.19999999999999</v>
      </c>
      <c r="E14" s="29">
        <v>0.6</v>
      </c>
      <c r="F14" s="29"/>
      <c r="G14" s="29">
        <v>0.46</v>
      </c>
      <c r="H14" s="29">
        <v>0.46</v>
      </c>
      <c r="I14" s="29">
        <f>7.73*2</f>
        <v>15.46</v>
      </c>
      <c r="J14" s="29">
        <f>34.13*2</f>
        <v>68.260000000000005</v>
      </c>
      <c r="K14" s="29">
        <v>0.04</v>
      </c>
      <c r="L14" s="29">
        <f>3.75*2</f>
        <v>7.5</v>
      </c>
      <c r="M14" s="29"/>
      <c r="N14" s="29">
        <v>0.6</v>
      </c>
      <c r="O14" s="29">
        <f>14.25*2</f>
        <v>28.5</v>
      </c>
      <c r="P14" s="29">
        <v>24</v>
      </c>
      <c r="Q14" s="29">
        <v>18</v>
      </c>
      <c r="R14" s="30">
        <f>1.73*2</f>
        <v>3.46</v>
      </c>
    </row>
    <row r="15" spans="1:30" s="35" customFormat="1" ht="16.5" thickBot="1">
      <c r="A15" s="32"/>
      <c r="B15" s="33" t="s">
        <v>188</v>
      </c>
      <c r="C15" s="34">
        <v>150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30" ht="16.5" thickBot="1">
      <c r="A16" s="36"/>
      <c r="B16" s="37" t="s">
        <v>40</v>
      </c>
      <c r="C16" s="38"/>
      <c r="D16" s="38">
        <f t="shared" ref="D16:R16" si="0">SUM(D5:D15)</f>
        <v>143.39999999999998</v>
      </c>
      <c r="E16" s="38">
        <f t="shared" si="0"/>
        <v>19.720000000000002</v>
      </c>
      <c r="F16" s="38">
        <f t="shared" si="0"/>
        <v>0</v>
      </c>
      <c r="G16" s="38">
        <f t="shared" si="0"/>
        <v>15.900000000000002</v>
      </c>
      <c r="H16" s="38">
        <f t="shared" si="0"/>
        <v>0.8600000000000001</v>
      </c>
      <c r="I16" s="122">
        <f t="shared" si="0"/>
        <v>68.375</v>
      </c>
      <c r="J16" s="122">
        <f t="shared" si="0"/>
        <v>518.71500000000003</v>
      </c>
      <c r="K16" s="38">
        <f t="shared" si="0"/>
        <v>0.17500000000000002</v>
      </c>
      <c r="L16" s="38">
        <f t="shared" si="0"/>
        <v>8.8350000000000009</v>
      </c>
      <c r="M16" s="38">
        <f t="shared" si="0"/>
        <v>27.574999999999999</v>
      </c>
      <c r="N16" s="38">
        <f t="shared" si="0"/>
        <v>1.1200000000000001</v>
      </c>
      <c r="O16" s="38">
        <f t="shared" si="0"/>
        <v>433.2</v>
      </c>
      <c r="P16" s="38">
        <f t="shared" si="0"/>
        <v>205.245</v>
      </c>
      <c r="Q16" s="38">
        <f t="shared" si="0"/>
        <v>66.73</v>
      </c>
      <c r="R16" s="38">
        <f t="shared" si="0"/>
        <v>118.68499999999999</v>
      </c>
    </row>
    <row r="17" spans="1:18" ht="16.5" thickBot="1">
      <c r="A17" s="3"/>
      <c r="B17" s="249" t="s">
        <v>41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</row>
    <row r="18" spans="1:18" ht="35.25" customHeight="1" thickBot="1">
      <c r="A18" s="7" t="s">
        <v>317</v>
      </c>
      <c r="B18" s="8" t="s">
        <v>316</v>
      </c>
      <c r="C18" s="9">
        <v>100</v>
      </c>
      <c r="D18" s="9">
        <v>81.5</v>
      </c>
      <c r="E18" s="79">
        <v>1.33</v>
      </c>
      <c r="F18" s="79"/>
      <c r="G18" s="79">
        <v>6.08</v>
      </c>
      <c r="H18" s="79">
        <v>6.08</v>
      </c>
      <c r="I18" s="79">
        <v>8.52</v>
      </c>
      <c r="J18" s="79">
        <v>94.12</v>
      </c>
      <c r="K18" s="79">
        <v>0.02</v>
      </c>
      <c r="L18" s="79">
        <v>24.43</v>
      </c>
      <c r="M18" s="79"/>
      <c r="N18" s="79">
        <v>2.31</v>
      </c>
      <c r="O18" s="79">
        <v>43</v>
      </c>
      <c r="P18" s="79">
        <v>28.32</v>
      </c>
      <c r="Q18" s="79">
        <v>16</v>
      </c>
      <c r="R18" s="80">
        <v>0.52</v>
      </c>
    </row>
    <row r="19" spans="1:18" ht="15.75">
      <c r="A19" s="46"/>
      <c r="B19" s="169" t="s">
        <v>24</v>
      </c>
      <c r="C19" s="170">
        <f>986/1000*100</f>
        <v>98.6</v>
      </c>
      <c r="D19" s="1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5.75">
      <c r="A20" s="47"/>
      <c r="B20" s="128" t="s">
        <v>25</v>
      </c>
      <c r="C20" s="129">
        <v>12.5</v>
      </c>
      <c r="D20" s="18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5.75">
      <c r="A21" s="47"/>
      <c r="B21" s="128" t="s">
        <v>29</v>
      </c>
      <c r="C21" s="129">
        <v>1.5</v>
      </c>
      <c r="D21" s="1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5.75">
      <c r="A22" s="47"/>
      <c r="B22" s="123" t="s">
        <v>51</v>
      </c>
      <c r="C22" s="124">
        <v>0.25</v>
      </c>
      <c r="D22" s="1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6.5" thickBot="1">
      <c r="A23" s="47"/>
      <c r="B23" s="128" t="s">
        <v>44</v>
      </c>
      <c r="C23" s="129">
        <v>2.5</v>
      </c>
      <c r="D23" s="18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6.5" thickBot="1">
      <c r="A24" s="7" t="s">
        <v>318</v>
      </c>
      <c r="B24" s="8" t="s">
        <v>200</v>
      </c>
      <c r="C24" s="9">
        <v>250</v>
      </c>
      <c r="D24" s="9">
        <v>223.8</v>
      </c>
      <c r="E24" s="9">
        <v>2.2000000000000002</v>
      </c>
      <c r="F24" s="9"/>
      <c r="G24" s="9">
        <v>5.2</v>
      </c>
      <c r="H24" s="9">
        <v>5.2</v>
      </c>
      <c r="I24" s="9">
        <v>15.58</v>
      </c>
      <c r="J24" s="9">
        <v>117.9</v>
      </c>
      <c r="K24" s="9">
        <v>0.15</v>
      </c>
      <c r="L24" s="9">
        <v>14.3</v>
      </c>
      <c r="M24" s="9"/>
      <c r="N24" s="9">
        <v>2.4300000000000002</v>
      </c>
      <c r="O24" s="9">
        <v>16.55</v>
      </c>
      <c r="P24" s="9">
        <v>34.950000000000003</v>
      </c>
      <c r="Q24" s="9">
        <v>28</v>
      </c>
      <c r="R24" s="10">
        <v>1.03</v>
      </c>
    </row>
    <row r="25" spans="1:18" ht="15.75">
      <c r="A25" s="171"/>
      <c r="B25" s="169" t="s">
        <v>48</v>
      </c>
      <c r="C25" s="170">
        <v>76</v>
      </c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.75">
      <c r="A26" s="172"/>
      <c r="B26" s="128" t="s">
        <v>201</v>
      </c>
      <c r="C26" s="129">
        <v>5</v>
      </c>
      <c r="D26" s="8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5.75">
      <c r="A27" s="172"/>
      <c r="B27" s="128" t="s">
        <v>25</v>
      </c>
      <c r="C27" s="129">
        <v>10</v>
      </c>
      <c r="D27" s="8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5.75">
      <c r="A28" s="172"/>
      <c r="B28" s="128" t="s">
        <v>26</v>
      </c>
      <c r="C28" s="129">
        <v>6</v>
      </c>
      <c r="D28" s="8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5.75">
      <c r="A29" s="173"/>
      <c r="B29" s="123" t="s">
        <v>202</v>
      </c>
      <c r="C29" s="124">
        <f>67/4</f>
        <v>16.75</v>
      </c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5.75">
      <c r="A30" s="173"/>
      <c r="B30" s="123" t="s">
        <v>44</v>
      </c>
      <c r="C30" s="124">
        <v>2.5</v>
      </c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5.75">
      <c r="A31" s="173"/>
      <c r="B31" s="123" t="s">
        <v>50</v>
      </c>
      <c r="C31" s="124">
        <f>750/4</f>
        <v>187.5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6.5" thickBot="1">
      <c r="A32" s="173"/>
      <c r="B32" s="123" t="s">
        <v>51</v>
      </c>
      <c r="C32" s="124">
        <f>0.2*2.5</f>
        <v>0.5</v>
      </c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30" ht="16.5" thickBot="1">
      <c r="A33" s="7" t="s">
        <v>319</v>
      </c>
      <c r="B33" s="8" t="s">
        <v>203</v>
      </c>
      <c r="C33" s="9">
        <v>80</v>
      </c>
      <c r="D33" s="9">
        <v>59.5</v>
      </c>
      <c r="E33" s="9">
        <v>9.67</v>
      </c>
      <c r="F33" s="9">
        <v>9.67</v>
      </c>
      <c r="G33" s="9">
        <v>9.8699999999999992</v>
      </c>
      <c r="H33" s="9"/>
      <c r="I33" s="9">
        <v>2.27</v>
      </c>
      <c r="J33" s="9">
        <v>136.53</v>
      </c>
      <c r="K33" s="9">
        <v>0.01</v>
      </c>
      <c r="L33" s="9">
        <v>0.01</v>
      </c>
      <c r="M33" s="9">
        <v>12</v>
      </c>
      <c r="N33" s="9">
        <v>7.0000000000000007E-2</v>
      </c>
      <c r="O33" s="9">
        <v>17.13</v>
      </c>
      <c r="P33" s="9">
        <v>59.33</v>
      </c>
      <c r="Q33" s="9">
        <v>12.47</v>
      </c>
      <c r="R33" s="10">
        <v>1.47</v>
      </c>
    </row>
    <row r="34" spans="1:30" ht="15.75">
      <c r="A34" s="171"/>
      <c r="B34" s="169" t="s">
        <v>204</v>
      </c>
      <c r="C34" s="170">
        <f>107/100*80</f>
        <v>85.600000000000009</v>
      </c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30" ht="15.75">
      <c r="A35" s="172"/>
      <c r="B35" s="128" t="s">
        <v>26</v>
      </c>
      <c r="C35" s="129">
        <f>29/100*80</f>
        <v>23.2</v>
      </c>
      <c r="D35" s="85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30" ht="15.75">
      <c r="A36" s="172"/>
      <c r="B36" s="128" t="s">
        <v>44</v>
      </c>
      <c r="C36" s="129">
        <v>2.5</v>
      </c>
      <c r="D36" s="85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30" ht="15.75">
      <c r="A37" s="173"/>
      <c r="B37" s="123" t="s">
        <v>51</v>
      </c>
      <c r="C37" s="124">
        <f>1.2*0.8</f>
        <v>0.96</v>
      </c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30" ht="15.75">
      <c r="A38" s="173"/>
      <c r="B38" s="123" t="s">
        <v>28</v>
      </c>
      <c r="C38" s="124">
        <f>4/100*80</f>
        <v>3.2</v>
      </c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30" ht="16.5" thickBot="1">
      <c r="A39" s="173"/>
      <c r="B39" s="123" t="s">
        <v>86</v>
      </c>
      <c r="C39" s="124">
        <f>23/100*80</f>
        <v>18.400000000000002</v>
      </c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30" ht="16.5" thickBot="1">
      <c r="A40" s="7" t="s">
        <v>307</v>
      </c>
      <c r="B40" s="8" t="s">
        <v>194</v>
      </c>
      <c r="C40" s="9">
        <v>150</v>
      </c>
      <c r="D40" s="9">
        <v>93.06</v>
      </c>
      <c r="E40" s="59">
        <v>8.9</v>
      </c>
      <c r="F40" s="59">
        <v>0.03</v>
      </c>
      <c r="G40" s="59">
        <v>4.0999999999999996</v>
      </c>
      <c r="H40" s="59">
        <v>2.4</v>
      </c>
      <c r="I40" s="59">
        <v>39.840000000000003</v>
      </c>
      <c r="J40" s="59">
        <v>231.86</v>
      </c>
      <c r="K40" s="59">
        <v>0.2</v>
      </c>
      <c r="L40" s="59"/>
      <c r="M40" s="59"/>
      <c r="N40" s="59"/>
      <c r="O40" s="59">
        <v>14.6</v>
      </c>
      <c r="P40" s="59">
        <v>210</v>
      </c>
      <c r="Q40" s="59">
        <v>140</v>
      </c>
      <c r="R40" s="60">
        <v>5.01</v>
      </c>
    </row>
    <row r="41" spans="1:30" ht="15.75">
      <c r="A41" s="171"/>
      <c r="B41" s="169" t="s">
        <v>195</v>
      </c>
      <c r="C41" s="170">
        <v>35</v>
      </c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30" ht="15.75">
      <c r="A42" s="172"/>
      <c r="B42" s="128" t="s">
        <v>53</v>
      </c>
      <c r="C42" s="129">
        <v>10</v>
      </c>
      <c r="D42" s="8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30" ht="15" customHeight="1" thickBot="1">
      <c r="A43" s="172"/>
      <c r="B43" s="123" t="s">
        <v>51</v>
      </c>
      <c r="C43" s="124">
        <f>0.25*1.5</f>
        <v>0.375</v>
      </c>
      <c r="D43" s="8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30" ht="16.5" thickBot="1">
      <c r="A44" s="7"/>
      <c r="B44" s="8" t="s">
        <v>193</v>
      </c>
      <c r="C44" s="9">
        <v>200</v>
      </c>
      <c r="D44" s="9">
        <v>161.4</v>
      </c>
      <c r="E44" s="9">
        <v>1</v>
      </c>
      <c r="F44" s="9"/>
      <c r="G44" s="9">
        <v>0.2</v>
      </c>
      <c r="H44" s="9">
        <v>0.2</v>
      </c>
      <c r="I44" s="9">
        <v>20.2</v>
      </c>
      <c r="J44" s="9">
        <v>86.5</v>
      </c>
      <c r="K44" s="9">
        <v>0.02</v>
      </c>
      <c r="L44" s="9">
        <v>4</v>
      </c>
      <c r="M44" s="9"/>
      <c r="N44" s="9">
        <v>0.2</v>
      </c>
      <c r="O44" s="9">
        <v>14</v>
      </c>
      <c r="P44" s="9">
        <v>14</v>
      </c>
      <c r="Q44" s="9">
        <v>8</v>
      </c>
      <c r="R44" s="10">
        <v>2.8</v>
      </c>
    </row>
    <row r="45" spans="1:30" ht="16.5" thickBot="1">
      <c r="A45" s="19"/>
      <c r="B45" s="167" t="s">
        <v>193</v>
      </c>
      <c r="C45" s="22">
        <v>200</v>
      </c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30" ht="16.5" thickBot="1">
      <c r="A46" s="23" t="s">
        <v>35</v>
      </c>
      <c r="B46" s="24" t="s">
        <v>36</v>
      </c>
      <c r="C46" s="25">
        <v>40</v>
      </c>
      <c r="D46" s="25">
        <v>15.2</v>
      </c>
      <c r="E46" s="25">
        <v>3.16</v>
      </c>
      <c r="F46" s="25"/>
      <c r="G46" s="25">
        <v>0.4</v>
      </c>
      <c r="H46" s="25">
        <v>0.4</v>
      </c>
      <c r="I46" s="25">
        <v>19.32</v>
      </c>
      <c r="J46" s="25">
        <v>93.52</v>
      </c>
      <c r="K46" s="25">
        <v>0.04</v>
      </c>
      <c r="L46" s="25"/>
      <c r="M46" s="25"/>
      <c r="N46" s="25">
        <v>0.52</v>
      </c>
      <c r="O46" s="25">
        <v>9.1999999999999993</v>
      </c>
      <c r="P46" s="25">
        <v>34.799999999999997</v>
      </c>
      <c r="Q46" s="25">
        <v>13.2</v>
      </c>
      <c r="R46" s="26">
        <v>0.44</v>
      </c>
    </row>
    <row r="47" spans="1:30" ht="16.5" thickBot="1">
      <c r="A47" s="56"/>
      <c r="B47" s="27" t="s">
        <v>37</v>
      </c>
      <c r="C47" s="21">
        <v>40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>
        <v>77</v>
      </c>
      <c r="T47">
        <v>79</v>
      </c>
      <c r="U47">
        <v>335</v>
      </c>
      <c r="V47">
        <v>2350</v>
      </c>
      <c r="W47">
        <v>1.2</v>
      </c>
      <c r="X47">
        <v>60</v>
      </c>
      <c r="Y47">
        <v>0.7</v>
      </c>
      <c r="Z47">
        <v>10</v>
      </c>
      <c r="AA47">
        <v>1100</v>
      </c>
      <c r="AB47">
        <v>1650</v>
      </c>
      <c r="AC47">
        <v>250</v>
      </c>
      <c r="AD47">
        <v>12</v>
      </c>
    </row>
    <row r="48" spans="1:30" ht="16.5" thickBot="1">
      <c r="A48" s="64"/>
      <c r="B48" s="65" t="s">
        <v>40</v>
      </c>
      <c r="C48" s="66"/>
      <c r="D48" s="66">
        <f t="shared" ref="D48:R48" si="1">SUM(D18:D47)</f>
        <v>634.46</v>
      </c>
      <c r="E48" s="66">
        <f t="shared" si="1"/>
        <v>26.26</v>
      </c>
      <c r="F48" s="66">
        <f t="shared" si="1"/>
        <v>9.6999999999999993</v>
      </c>
      <c r="G48" s="66">
        <f t="shared" si="1"/>
        <v>25.849999999999998</v>
      </c>
      <c r="H48" s="66">
        <f t="shared" si="1"/>
        <v>14.280000000000001</v>
      </c>
      <c r="I48" s="66">
        <f t="shared" si="1"/>
        <v>105.73000000000002</v>
      </c>
      <c r="J48" s="66">
        <f t="shared" si="1"/>
        <v>760.43000000000006</v>
      </c>
      <c r="K48" s="66">
        <f t="shared" si="1"/>
        <v>0.44</v>
      </c>
      <c r="L48" s="66">
        <f t="shared" si="1"/>
        <v>42.74</v>
      </c>
      <c r="M48" s="66">
        <f t="shared" si="1"/>
        <v>12</v>
      </c>
      <c r="N48" s="66">
        <f t="shared" si="1"/>
        <v>5.5300000000000011</v>
      </c>
      <c r="O48" s="66">
        <f t="shared" si="1"/>
        <v>114.47999999999999</v>
      </c>
      <c r="P48" s="66">
        <f t="shared" si="1"/>
        <v>381.40000000000003</v>
      </c>
      <c r="Q48" s="66">
        <f t="shared" si="1"/>
        <v>217.67</v>
      </c>
      <c r="R48" s="66">
        <f t="shared" si="1"/>
        <v>11.269999999999998</v>
      </c>
    </row>
    <row r="49" spans="1:18" ht="16.5" thickBot="1">
      <c r="A49" s="67"/>
      <c r="B49" s="68" t="s">
        <v>57</v>
      </c>
      <c r="C49" s="69"/>
      <c r="D49" s="69">
        <f t="shared" ref="D49:R49" si="2">D48+D16</f>
        <v>777.86</v>
      </c>
      <c r="E49" s="69">
        <f t="shared" si="2"/>
        <v>45.980000000000004</v>
      </c>
      <c r="F49" s="69">
        <f t="shared" si="2"/>
        <v>9.6999999999999993</v>
      </c>
      <c r="G49" s="69">
        <f t="shared" si="2"/>
        <v>41.75</v>
      </c>
      <c r="H49" s="69">
        <f t="shared" si="2"/>
        <v>15.14</v>
      </c>
      <c r="I49" s="69">
        <f t="shared" si="2"/>
        <v>174.10500000000002</v>
      </c>
      <c r="J49" s="69">
        <f t="shared" si="2"/>
        <v>1279.145</v>
      </c>
      <c r="K49" s="69">
        <f t="shared" si="2"/>
        <v>0.61499999999999999</v>
      </c>
      <c r="L49" s="69">
        <f t="shared" si="2"/>
        <v>51.575000000000003</v>
      </c>
      <c r="M49" s="69">
        <f t="shared" si="2"/>
        <v>39.575000000000003</v>
      </c>
      <c r="N49" s="69">
        <f t="shared" si="2"/>
        <v>6.6500000000000012</v>
      </c>
      <c r="O49" s="69">
        <f t="shared" si="2"/>
        <v>547.67999999999995</v>
      </c>
      <c r="P49" s="69">
        <f t="shared" si="2"/>
        <v>586.64499999999998</v>
      </c>
      <c r="Q49" s="69">
        <f t="shared" si="2"/>
        <v>284.39999999999998</v>
      </c>
      <c r="R49" s="69">
        <f t="shared" si="2"/>
        <v>129.95499999999998</v>
      </c>
    </row>
    <row r="51" spans="1:18" ht="15.75">
      <c r="B51" s="16"/>
      <c r="C51" s="111" t="s">
        <v>58</v>
      </c>
      <c r="D51" s="111"/>
      <c r="E51" s="111" t="s">
        <v>59</v>
      </c>
      <c r="F51" s="111"/>
      <c r="G51" s="111" t="s">
        <v>60</v>
      </c>
      <c r="H51" s="111"/>
      <c r="I51" s="111" t="s">
        <v>61</v>
      </c>
      <c r="J51" s="111" t="s">
        <v>62</v>
      </c>
      <c r="K51" s="70" t="s">
        <v>63</v>
      </c>
      <c r="L51" s="70" t="s">
        <v>13</v>
      </c>
      <c r="M51" s="70" t="s">
        <v>14</v>
      </c>
      <c r="N51" s="70" t="s">
        <v>15</v>
      </c>
      <c r="O51" s="70" t="s">
        <v>64</v>
      </c>
      <c r="P51" s="70" t="s">
        <v>17</v>
      </c>
      <c r="Q51" s="70" t="s">
        <v>18</v>
      </c>
      <c r="R51" s="70" t="s">
        <v>19</v>
      </c>
    </row>
    <row r="52" spans="1:18" ht="18.75">
      <c r="B52" s="71"/>
      <c r="C52" s="72">
        <v>77</v>
      </c>
      <c r="D52" s="72"/>
      <c r="E52" s="72">
        <v>79</v>
      </c>
      <c r="F52" s="72"/>
      <c r="G52" s="72">
        <v>335</v>
      </c>
      <c r="H52" s="72"/>
      <c r="I52" s="72">
        <v>2350</v>
      </c>
      <c r="J52" s="72">
        <v>1.2</v>
      </c>
      <c r="K52" s="73">
        <v>1.4</v>
      </c>
      <c r="L52" s="73">
        <v>60</v>
      </c>
      <c r="M52" s="73">
        <v>0.7</v>
      </c>
      <c r="N52" s="73">
        <v>10</v>
      </c>
      <c r="O52" s="73">
        <v>1110</v>
      </c>
      <c r="P52" s="73">
        <v>1650</v>
      </c>
      <c r="Q52" s="73">
        <v>250</v>
      </c>
      <c r="R52" s="73">
        <v>12</v>
      </c>
    </row>
    <row r="53" spans="1:18" ht="18.75">
      <c r="B53" s="71" t="s">
        <v>65</v>
      </c>
      <c r="C53" s="74">
        <v>20</v>
      </c>
      <c r="D53" s="74"/>
      <c r="E53" s="74">
        <v>20</v>
      </c>
      <c r="F53" s="74"/>
      <c r="G53" s="74">
        <v>20</v>
      </c>
      <c r="H53" s="74"/>
      <c r="I53" s="74">
        <v>20</v>
      </c>
      <c r="J53" s="74">
        <v>20</v>
      </c>
      <c r="K53" s="74">
        <v>20</v>
      </c>
      <c r="L53" s="74">
        <v>20</v>
      </c>
      <c r="M53" s="74">
        <v>20</v>
      </c>
      <c r="N53" s="74">
        <v>20</v>
      </c>
      <c r="O53" s="74">
        <v>20</v>
      </c>
      <c r="P53" s="74">
        <v>20</v>
      </c>
      <c r="Q53" s="74">
        <v>20</v>
      </c>
      <c r="R53" s="74">
        <v>20</v>
      </c>
    </row>
    <row r="54" spans="1:18" ht="18.75">
      <c r="B54" s="71"/>
      <c r="C54" s="74">
        <v>25</v>
      </c>
      <c r="D54" s="74"/>
      <c r="E54" s="74">
        <v>25</v>
      </c>
      <c r="F54" s="74"/>
      <c r="G54" s="74">
        <v>25</v>
      </c>
      <c r="H54" s="74"/>
      <c r="I54" s="74">
        <v>25</v>
      </c>
      <c r="J54" s="74">
        <v>25</v>
      </c>
      <c r="K54" s="74">
        <v>25</v>
      </c>
      <c r="L54" s="74">
        <v>25</v>
      </c>
      <c r="M54" s="74">
        <v>25</v>
      </c>
      <c r="N54" s="74">
        <v>25</v>
      </c>
      <c r="O54" s="74">
        <v>25</v>
      </c>
      <c r="P54" s="74">
        <v>25</v>
      </c>
      <c r="Q54" s="74">
        <v>25</v>
      </c>
      <c r="R54" s="74">
        <v>25</v>
      </c>
    </row>
    <row r="55" spans="1:18" ht="18.75">
      <c r="B55" s="71"/>
      <c r="C55" s="75">
        <v>30</v>
      </c>
      <c r="D55" s="75"/>
      <c r="E55" s="75">
        <v>30</v>
      </c>
      <c r="F55" s="75"/>
      <c r="G55" s="75">
        <v>30</v>
      </c>
      <c r="H55" s="75"/>
      <c r="I55" s="75">
        <v>30</v>
      </c>
      <c r="J55" s="75">
        <v>30</v>
      </c>
      <c r="K55" s="75">
        <v>30</v>
      </c>
      <c r="L55" s="75">
        <v>30</v>
      </c>
      <c r="M55" s="75">
        <v>30</v>
      </c>
      <c r="N55" s="75">
        <v>30</v>
      </c>
      <c r="O55" s="75">
        <v>30</v>
      </c>
      <c r="P55" s="75">
        <v>30</v>
      </c>
      <c r="Q55" s="75">
        <v>30</v>
      </c>
      <c r="R55" s="75">
        <v>30</v>
      </c>
    </row>
    <row r="56" spans="1:18" ht="18.75">
      <c r="B56" s="71"/>
      <c r="C56" s="75">
        <v>35</v>
      </c>
      <c r="D56" s="75"/>
      <c r="E56" s="75">
        <v>35</v>
      </c>
      <c r="F56" s="75"/>
      <c r="G56" s="75">
        <v>35</v>
      </c>
      <c r="H56" s="75"/>
      <c r="I56" s="75">
        <v>35</v>
      </c>
      <c r="J56" s="75">
        <v>35</v>
      </c>
      <c r="K56" s="75">
        <v>35</v>
      </c>
      <c r="L56" s="75">
        <v>35</v>
      </c>
      <c r="M56" s="75">
        <v>35</v>
      </c>
      <c r="N56" s="75">
        <v>35</v>
      </c>
      <c r="O56" s="75">
        <v>35</v>
      </c>
      <c r="P56" s="75">
        <v>35</v>
      </c>
      <c r="Q56" s="75">
        <v>35</v>
      </c>
      <c r="R56" s="75">
        <v>35</v>
      </c>
    </row>
    <row r="57" spans="1:18" ht="18.75">
      <c r="B57" s="71" t="s">
        <v>66</v>
      </c>
      <c r="C57" s="74">
        <f>C52*C53/100</f>
        <v>15.4</v>
      </c>
      <c r="D57" s="74"/>
      <c r="E57" s="74">
        <f t="shared" ref="E57:R57" si="3">E52*E53/100</f>
        <v>15.8</v>
      </c>
      <c r="F57" s="74"/>
      <c r="G57" s="74">
        <f t="shared" si="3"/>
        <v>67</v>
      </c>
      <c r="H57" s="74"/>
      <c r="I57" s="74">
        <f t="shared" si="3"/>
        <v>470</v>
      </c>
      <c r="J57" s="74">
        <f t="shared" si="3"/>
        <v>0.24</v>
      </c>
      <c r="K57" s="74">
        <f t="shared" si="3"/>
        <v>0.28000000000000003</v>
      </c>
      <c r="L57" s="74">
        <f t="shared" si="3"/>
        <v>12</v>
      </c>
      <c r="M57" s="74">
        <f t="shared" si="3"/>
        <v>0.14000000000000001</v>
      </c>
      <c r="N57" s="74">
        <f t="shared" si="3"/>
        <v>2</v>
      </c>
      <c r="O57" s="74">
        <f t="shared" si="3"/>
        <v>222</v>
      </c>
      <c r="P57" s="74">
        <f t="shared" si="3"/>
        <v>330</v>
      </c>
      <c r="Q57" s="74">
        <f t="shared" si="3"/>
        <v>50</v>
      </c>
      <c r="R57" s="74">
        <f t="shared" si="3"/>
        <v>2.4</v>
      </c>
    </row>
    <row r="58" spans="1:18" ht="18.75">
      <c r="B58" s="71"/>
      <c r="C58" s="74">
        <f>C52*C54/100</f>
        <v>19.25</v>
      </c>
      <c r="D58" s="74"/>
      <c r="E58" s="74">
        <f t="shared" ref="E58:R58" si="4">E52*E54/100</f>
        <v>19.75</v>
      </c>
      <c r="F58" s="74"/>
      <c r="G58" s="74">
        <f t="shared" si="4"/>
        <v>83.75</v>
      </c>
      <c r="H58" s="74"/>
      <c r="I58" s="74">
        <f t="shared" si="4"/>
        <v>587.5</v>
      </c>
      <c r="J58" s="74">
        <f t="shared" si="4"/>
        <v>0.3</v>
      </c>
      <c r="K58" s="74">
        <f t="shared" si="4"/>
        <v>0.35</v>
      </c>
      <c r="L58" s="74">
        <f t="shared" si="4"/>
        <v>15</v>
      </c>
      <c r="M58" s="74">
        <f t="shared" si="4"/>
        <v>0.17499999999999999</v>
      </c>
      <c r="N58" s="74">
        <f t="shared" si="4"/>
        <v>2.5</v>
      </c>
      <c r="O58" s="74">
        <f t="shared" si="4"/>
        <v>277.5</v>
      </c>
      <c r="P58" s="74">
        <f t="shared" si="4"/>
        <v>412.5</v>
      </c>
      <c r="Q58" s="74">
        <f t="shared" si="4"/>
        <v>62.5</v>
      </c>
      <c r="R58" s="74">
        <f t="shared" si="4"/>
        <v>3</v>
      </c>
    </row>
    <row r="59" spans="1:18" ht="18.75">
      <c r="B59" s="76" t="s">
        <v>67</v>
      </c>
      <c r="C59" s="77">
        <f>C52*C55/100</f>
        <v>23.1</v>
      </c>
      <c r="D59" s="77"/>
      <c r="E59" s="77">
        <f t="shared" ref="E59:R59" si="5">E52*E55/100</f>
        <v>23.7</v>
      </c>
      <c r="F59" s="77"/>
      <c r="G59" s="77">
        <f t="shared" si="5"/>
        <v>100.5</v>
      </c>
      <c r="H59" s="77"/>
      <c r="I59" s="77">
        <f t="shared" si="5"/>
        <v>705</v>
      </c>
      <c r="J59" s="77">
        <f t="shared" si="5"/>
        <v>0.36</v>
      </c>
      <c r="K59" s="77">
        <f t="shared" si="5"/>
        <v>0.42</v>
      </c>
      <c r="L59" s="77">
        <f t="shared" si="5"/>
        <v>18</v>
      </c>
      <c r="M59" s="77">
        <f t="shared" si="5"/>
        <v>0.21</v>
      </c>
      <c r="N59" s="77">
        <f t="shared" si="5"/>
        <v>3</v>
      </c>
      <c r="O59" s="77">
        <f t="shared" si="5"/>
        <v>333</v>
      </c>
      <c r="P59" s="77">
        <f t="shared" si="5"/>
        <v>495</v>
      </c>
      <c r="Q59" s="77">
        <f t="shared" si="5"/>
        <v>75</v>
      </c>
      <c r="R59" s="77">
        <f t="shared" si="5"/>
        <v>3.6</v>
      </c>
    </row>
    <row r="60" spans="1:18" ht="18.75">
      <c r="B60" s="76"/>
      <c r="C60" s="77">
        <f>C52*C56/100</f>
        <v>26.95</v>
      </c>
      <c r="D60" s="77"/>
      <c r="E60" s="77">
        <f t="shared" ref="E60:R60" si="6">E52*E56/100</f>
        <v>27.65</v>
      </c>
      <c r="F60" s="77"/>
      <c r="G60" s="77">
        <f t="shared" si="6"/>
        <v>117.25</v>
      </c>
      <c r="H60" s="77"/>
      <c r="I60" s="77">
        <f t="shared" si="6"/>
        <v>822.5</v>
      </c>
      <c r="J60" s="77">
        <f t="shared" si="6"/>
        <v>0.42</v>
      </c>
      <c r="K60" s="77">
        <f t="shared" si="6"/>
        <v>0.49</v>
      </c>
      <c r="L60" s="77">
        <f t="shared" si="6"/>
        <v>21</v>
      </c>
      <c r="M60" s="77">
        <f t="shared" si="6"/>
        <v>0.245</v>
      </c>
      <c r="N60" s="77">
        <f t="shared" si="6"/>
        <v>3.5</v>
      </c>
      <c r="O60" s="77">
        <f t="shared" si="6"/>
        <v>388.5</v>
      </c>
      <c r="P60" s="77">
        <f t="shared" si="6"/>
        <v>577.5</v>
      </c>
      <c r="Q60" s="77">
        <f t="shared" si="6"/>
        <v>87.5</v>
      </c>
      <c r="R60" s="77">
        <f t="shared" si="6"/>
        <v>4.2</v>
      </c>
    </row>
  </sheetData>
  <mergeCells count="15">
    <mergeCell ref="A1:A2"/>
    <mergeCell ref="B1:B2"/>
    <mergeCell ref="C1:C2"/>
    <mergeCell ref="D1:D2"/>
    <mergeCell ref="E1:E2"/>
    <mergeCell ref="B3:Q3"/>
    <mergeCell ref="B4:Q4"/>
    <mergeCell ref="B17:R17"/>
    <mergeCell ref="G1:G2"/>
    <mergeCell ref="H1:H2"/>
    <mergeCell ref="I1:I2"/>
    <mergeCell ref="J1:J2"/>
    <mergeCell ref="K1:N1"/>
    <mergeCell ref="O1:R1"/>
    <mergeCell ref="F1:F2"/>
  </mergeCells>
  <printOptions horizontalCentered="1" verticalCentered="1"/>
  <pageMargins left="0" right="0" top="0" bottom="0" header="0" footer="0"/>
  <pageSetup paperSize="9" scale="5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view="pageBreakPreview" zoomScale="60" zoomScaleNormal="100" workbookViewId="0">
      <pane xSplit="1" ySplit="2" topLeftCell="B41" activePane="bottomRight" state="frozen"/>
      <selection pane="topRight" activeCell="B1" sqref="B1"/>
      <selection pane="bottomLeft" activeCell="A3" sqref="A3"/>
      <selection pane="bottomRight" activeCell="A45" sqref="A45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  <col min="26" max="26" width="8" customWidth="1"/>
  </cols>
  <sheetData>
    <row r="1" spans="1:30" ht="15.75">
      <c r="A1" s="232" t="s">
        <v>0</v>
      </c>
      <c r="B1" s="233" t="s">
        <v>1</v>
      </c>
      <c r="C1" s="234" t="s">
        <v>2</v>
      </c>
      <c r="D1" s="244" t="s">
        <v>3</v>
      </c>
      <c r="E1" s="241" t="s">
        <v>4</v>
      </c>
      <c r="F1" s="239" t="s">
        <v>5</v>
      </c>
      <c r="G1" s="241" t="s">
        <v>6</v>
      </c>
      <c r="H1" s="239" t="s">
        <v>7</v>
      </c>
      <c r="I1" s="234" t="s">
        <v>8</v>
      </c>
      <c r="J1" s="234" t="s">
        <v>9</v>
      </c>
      <c r="K1" s="237" t="s">
        <v>10</v>
      </c>
      <c r="L1" s="237"/>
      <c r="M1" s="237"/>
      <c r="N1" s="237"/>
      <c r="O1" s="237" t="s">
        <v>11</v>
      </c>
      <c r="P1" s="237"/>
      <c r="Q1" s="237"/>
      <c r="R1" s="237"/>
    </row>
    <row r="2" spans="1:30" ht="72" customHeight="1">
      <c r="A2" s="232"/>
      <c r="B2" s="233"/>
      <c r="C2" s="234"/>
      <c r="D2" s="245"/>
      <c r="E2" s="241"/>
      <c r="F2" s="240"/>
      <c r="G2" s="241"/>
      <c r="H2" s="240"/>
      <c r="I2" s="234"/>
      <c r="J2" s="234"/>
      <c r="K2" s="111" t="s">
        <v>12</v>
      </c>
      <c r="L2" s="111" t="s">
        <v>13</v>
      </c>
      <c r="M2" s="111" t="s">
        <v>14</v>
      </c>
      <c r="N2" s="111" t="s">
        <v>15</v>
      </c>
      <c r="O2" s="111" t="s">
        <v>16</v>
      </c>
      <c r="P2" s="111" t="s">
        <v>17</v>
      </c>
      <c r="Q2" s="111" t="s">
        <v>18</v>
      </c>
      <c r="R2" s="111" t="s">
        <v>19</v>
      </c>
      <c r="S2" s="2" t="s">
        <v>4</v>
      </c>
      <c r="T2" s="2" t="s">
        <v>6</v>
      </c>
      <c r="U2" s="2" t="s">
        <v>8</v>
      </c>
      <c r="V2" s="2" t="s">
        <v>9</v>
      </c>
      <c r="W2" s="237" t="s">
        <v>10</v>
      </c>
      <c r="X2" s="237"/>
      <c r="Y2" s="237"/>
      <c r="Z2" s="237"/>
      <c r="AA2" s="237" t="s">
        <v>11</v>
      </c>
      <c r="AB2" s="237"/>
      <c r="AC2" s="237"/>
      <c r="AD2" s="237"/>
    </row>
    <row r="3" spans="1:30" ht="23.25" customHeight="1">
      <c r="A3" s="15"/>
      <c r="B3" s="246" t="s">
        <v>253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86"/>
    </row>
    <row r="4" spans="1:30" ht="16.5" thickBot="1">
      <c r="A4" s="5"/>
      <c r="B4" s="247" t="s">
        <v>21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6"/>
    </row>
    <row r="5" spans="1:30" ht="33" customHeight="1" thickBot="1">
      <c r="A5" s="7" t="s">
        <v>320</v>
      </c>
      <c r="B5" s="185" t="s">
        <v>321</v>
      </c>
      <c r="C5" s="9">
        <v>100</v>
      </c>
      <c r="D5" s="189">
        <f>88.3</f>
        <v>88.3</v>
      </c>
      <c r="E5" s="190">
        <v>7.85</v>
      </c>
      <c r="F5" s="190">
        <v>7.85</v>
      </c>
      <c r="G5" s="190">
        <v>9.06</v>
      </c>
      <c r="H5" s="190"/>
      <c r="I5" s="190">
        <v>3.21</v>
      </c>
      <c r="J5" s="190">
        <v>124.93</v>
      </c>
      <c r="K5" s="190">
        <v>0.04</v>
      </c>
      <c r="L5" s="190">
        <v>0.18</v>
      </c>
      <c r="M5" s="190">
        <v>0.22</v>
      </c>
      <c r="N5" s="190">
        <v>0</v>
      </c>
      <c r="O5" s="190">
        <v>100.82</v>
      </c>
      <c r="P5" s="190">
        <v>151.5</v>
      </c>
      <c r="Q5" s="190">
        <v>14.4</v>
      </c>
      <c r="R5" s="191">
        <v>1.32</v>
      </c>
    </row>
    <row r="6" spans="1:30" ht="15.75">
      <c r="A6" s="46"/>
      <c r="B6" s="87" t="s">
        <v>196</v>
      </c>
      <c r="C6" s="12">
        <v>70</v>
      </c>
      <c r="D6" s="12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30" ht="15.75">
      <c r="A7" s="47"/>
      <c r="B7" s="88" t="s">
        <v>71</v>
      </c>
      <c r="C7" s="18">
        <f>25/50*120</f>
        <v>60</v>
      </c>
      <c r="D7" s="1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30" ht="15.75">
      <c r="A8" s="48"/>
      <c r="B8" s="123" t="s">
        <v>51</v>
      </c>
      <c r="C8" s="124">
        <v>0.25</v>
      </c>
      <c r="D8" s="14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30" ht="16.5" thickBot="1">
      <c r="A9" s="48"/>
      <c r="B9" s="89" t="s">
        <v>53</v>
      </c>
      <c r="C9" s="14">
        <v>3</v>
      </c>
      <c r="D9" s="14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30" ht="16.5" thickBot="1">
      <c r="A10" s="174" t="s">
        <v>322</v>
      </c>
      <c r="B10" s="175" t="s">
        <v>210</v>
      </c>
      <c r="C10" s="176">
        <v>50</v>
      </c>
      <c r="D10" s="177"/>
      <c r="E10" s="178">
        <f>10.48*0.5</f>
        <v>5.24</v>
      </c>
      <c r="F10" s="178"/>
      <c r="G10" s="178">
        <f>10.9*0.5</f>
        <v>5.45</v>
      </c>
      <c r="H10" s="178"/>
      <c r="I10" s="178">
        <f>33.11*0.5</f>
        <v>16.555</v>
      </c>
      <c r="J10" s="178">
        <f>287.3*0.5</f>
        <v>143.65</v>
      </c>
      <c r="K10" s="178">
        <f>0.08*0.5</f>
        <v>0.04</v>
      </c>
      <c r="L10" s="178">
        <f>0.05*0.5</f>
        <v>2.5000000000000001E-2</v>
      </c>
      <c r="M10" s="178">
        <f>0.09*0.5</f>
        <v>4.4999999999999998E-2</v>
      </c>
      <c r="N10" s="178">
        <v>0</v>
      </c>
      <c r="O10" s="178">
        <f>67.84*0.5</f>
        <v>33.92</v>
      </c>
      <c r="P10" s="178">
        <f>111.88*0.5</f>
        <v>55.94</v>
      </c>
      <c r="Q10" s="178">
        <f>15.85*0.5</f>
        <v>7.9249999999999998</v>
      </c>
      <c r="R10" s="179">
        <f>0.91*0.5</f>
        <v>0.45500000000000002</v>
      </c>
    </row>
    <row r="11" spans="1:30" ht="15.75">
      <c r="A11" s="171"/>
      <c r="B11" s="169" t="s">
        <v>28</v>
      </c>
      <c r="C11" s="170">
        <f>44*0.5</f>
        <v>22</v>
      </c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</row>
    <row r="12" spans="1:30" ht="15.75">
      <c r="A12" s="172"/>
      <c r="B12" s="128" t="s">
        <v>71</v>
      </c>
      <c r="C12" s="129">
        <f>22*0.5</f>
        <v>11</v>
      </c>
      <c r="D12" s="181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</row>
    <row r="13" spans="1:30" ht="15.75">
      <c r="A13" s="172"/>
      <c r="B13" s="128" t="s">
        <v>196</v>
      </c>
      <c r="C13" s="129">
        <f>10*0.5</f>
        <v>5</v>
      </c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</row>
    <row r="14" spans="1:30" ht="15.75">
      <c r="A14" s="172"/>
      <c r="B14" s="128" t="s">
        <v>29</v>
      </c>
      <c r="C14" s="129">
        <f>5*0.5</f>
        <v>2.5</v>
      </c>
      <c r="D14" s="181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30" ht="15.75">
      <c r="A15" s="172"/>
      <c r="B15" s="128" t="s">
        <v>219</v>
      </c>
      <c r="C15" s="129">
        <v>2</v>
      </c>
      <c r="D15" s="181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</row>
    <row r="16" spans="1:30" ht="15.75">
      <c r="A16" s="172"/>
      <c r="B16" s="128" t="s">
        <v>53</v>
      </c>
      <c r="C16" s="129">
        <v>2.5</v>
      </c>
      <c r="D16" s="181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30" ht="15.75">
      <c r="A17" s="172"/>
      <c r="B17" s="128" t="s">
        <v>44</v>
      </c>
      <c r="C17" s="129">
        <f>3*0.5</f>
        <v>1.5</v>
      </c>
      <c r="D17" s="181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30" ht="15.75">
      <c r="A18" s="172"/>
      <c r="B18" s="128" t="s">
        <v>220</v>
      </c>
      <c r="C18" s="129">
        <f>23*0.5</f>
        <v>11.5</v>
      </c>
      <c r="D18" s="18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</row>
    <row r="19" spans="1:30" ht="15.75">
      <c r="A19" s="172"/>
      <c r="B19" s="128" t="s">
        <v>29</v>
      </c>
      <c r="C19" s="129">
        <f>3*0.5</f>
        <v>1.5</v>
      </c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</row>
    <row r="20" spans="1:30" ht="15.75">
      <c r="A20" s="172"/>
      <c r="B20" s="128" t="s">
        <v>196</v>
      </c>
      <c r="C20" s="129">
        <v>5</v>
      </c>
      <c r="D20" s="181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</row>
    <row r="21" spans="1:30" ht="16.5" thickBot="1">
      <c r="A21" s="172"/>
      <c r="B21" s="128" t="s">
        <v>51</v>
      </c>
      <c r="C21" s="129">
        <f>0.5*0.5</f>
        <v>0.25</v>
      </c>
      <c r="D21" s="181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</row>
    <row r="22" spans="1:30" ht="16.5" thickBot="1">
      <c r="A22" s="7" t="s">
        <v>323</v>
      </c>
      <c r="B22" s="8" t="s">
        <v>74</v>
      </c>
      <c r="C22" s="9">
        <v>200</v>
      </c>
      <c r="D22" s="9">
        <v>168.4</v>
      </c>
      <c r="E22" s="79">
        <v>3.78</v>
      </c>
      <c r="F22" s="79">
        <v>2.78</v>
      </c>
      <c r="G22" s="79">
        <v>0.67</v>
      </c>
      <c r="H22" s="79">
        <v>0.67</v>
      </c>
      <c r="I22" s="79">
        <v>26</v>
      </c>
      <c r="J22" s="79">
        <v>125.11</v>
      </c>
      <c r="K22" s="79">
        <v>0.02</v>
      </c>
      <c r="L22" s="79">
        <v>1.33</v>
      </c>
      <c r="M22" s="79"/>
      <c r="N22" s="79"/>
      <c r="O22" s="79">
        <v>133.33000000000001</v>
      </c>
      <c r="P22" s="79">
        <v>111.11</v>
      </c>
      <c r="Q22" s="79">
        <v>25.56</v>
      </c>
      <c r="R22" s="80">
        <v>2</v>
      </c>
    </row>
    <row r="23" spans="1:30" ht="15.75">
      <c r="A23" s="209"/>
      <c r="B23" s="27" t="s">
        <v>75</v>
      </c>
      <c r="C23" s="21">
        <v>3</v>
      </c>
      <c r="D23" s="21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30" ht="15.75">
      <c r="A24" s="47"/>
      <c r="B24" s="88" t="s">
        <v>71</v>
      </c>
      <c r="C24" s="18">
        <v>180</v>
      </c>
      <c r="D24" s="1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30" ht="15.75">
      <c r="A25" s="47"/>
      <c r="B25" s="88" t="s">
        <v>54</v>
      </c>
      <c r="C25" s="18">
        <v>94</v>
      </c>
      <c r="D25" s="18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30" ht="16.5" thickBot="1">
      <c r="A26" s="209"/>
      <c r="B26" s="27" t="s">
        <v>29</v>
      </c>
      <c r="C26" s="21">
        <v>20</v>
      </c>
      <c r="D26" s="21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1:30" ht="16.5" thickBot="1">
      <c r="A27" s="23" t="s">
        <v>35</v>
      </c>
      <c r="B27" s="24" t="s">
        <v>36</v>
      </c>
      <c r="C27" s="25">
        <v>40</v>
      </c>
      <c r="D27" s="25">
        <v>15.2</v>
      </c>
      <c r="E27" s="25">
        <v>3.16</v>
      </c>
      <c r="F27" s="25"/>
      <c r="G27" s="25">
        <v>0.4</v>
      </c>
      <c r="H27" s="25">
        <v>0.4</v>
      </c>
      <c r="I27" s="25">
        <v>19.32</v>
      </c>
      <c r="J27" s="25">
        <v>93.52</v>
      </c>
      <c r="K27" s="25">
        <v>0.04</v>
      </c>
      <c r="L27" s="25"/>
      <c r="M27" s="25"/>
      <c r="N27" s="25">
        <v>0.52</v>
      </c>
      <c r="O27" s="25">
        <v>9.1999999999999993</v>
      </c>
      <c r="P27" s="25">
        <v>34.799999999999997</v>
      </c>
      <c r="Q27" s="25">
        <v>13.2</v>
      </c>
      <c r="R27" s="26">
        <v>0.44</v>
      </c>
    </row>
    <row r="28" spans="1:30" ht="16.5" thickBot="1">
      <c r="A28" s="19"/>
      <c r="B28" s="27" t="s">
        <v>37</v>
      </c>
      <c r="C28" s="21">
        <v>40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>
        <v>77</v>
      </c>
      <c r="T28">
        <v>79</v>
      </c>
      <c r="U28">
        <v>335</v>
      </c>
      <c r="V28">
        <v>2350</v>
      </c>
      <c r="W28">
        <v>1.2</v>
      </c>
      <c r="X28">
        <v>60</v>
      </c>
      <c r="Y28">
        <v>0.7</v>
      </c>
      <c r="Z28">
        <v>10</v>
      </c>
      <c r="AA28">
        <v>1100</v>
      </c>
      <c r="AB28">
        <v>1650</v>
      </c>
      <c r="AC28">
        <v>250</v>
      </c>
      <c r="AD28">
        <v>12</v>
      </c>
    </row>
    <row r="29" spans="1:30" ht="16.5" thickBot="1">
      <c r="A29" s="36"/>
      <c r="B29" s="37" t="s">
        <v>40</v>
      </c>
      <c r="C29" s="38"/>
      <c r="D29" s="188">
        <f t="shared" ref="D29:R29" si="0">SUM(D5:D28)</f>
        <v>271.89999999999998</v>
      </c>
      <c r="E29" s="188">
        <f t="shared" si="0"/>
        <v>20.03</v>
      </c>
      <c r="F29" s="188">
        <f t="shared" si="0"/>
        <v>10.629999999999999</v>
      </c>
      <c r="G29" s="188">
        <f t="shared" si="0"/>
        <v>15.580000000000002</v>
      </c>
      <c r="H29" s="188">
        <f t="shared" si="0"/>
        <v>1.07</v>
      </c>
      <c r="I29" s="188">
        <f t="shared" si="0"/>
        <v>65.085000000000008</v>
      </c>
      <c r="J29" s="188">
        <f t="shared" si="0"/>
        <v>487.21000000000004</v>
      </c>
      <c r="K29" s="188">
        <f t="shared" si="0"/>
        <v>0.14000000000000001</v>
      </c>
      <c r="L29" s="188">
        <f t="shared" si="0"/>
        <v>1.5350000000000001</v>
      </c>
      <c r="M29" s="188">
        <f t="shared" si="0"/>
        <v>0.26500000000000001</v>
      </c>
      <c r="N29" s="188">
        <f t="shared" si="0"/>
        <v>0.52</v>
      </c>
      <c r="O29" s="188">
        <f t="shared" si="0"/>
        <v>277.27000000000004</v>
      </c>
      <c r="P29" s="188">
        <f t="shared" si="0"/>
        <v>353.35</v>
      </c>
      <c r="Q29" s="188">
        <f t="shared" si="0"/>
        <v>61.084999999999994</v>
      </c>
      <c r="R29" s="188">
        <f t="shared" si="0"/>
        <v>4.2150000000000007</v>
      </c>
    </row>
    <row r="30" spans="1:30" ht="16.5" thickBot="1">
      <c r="A30" s="252" t="s">
        <v>41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4"/>
    </row>
    <row r="31" spans="1:30" ht="16.5" thickBot="1">
      <c r="A31" s="23" t="s">
        <v>325</v>
      </c>
      <c r="B31" s="24" t="s">
        <v>324</v>
      </c>
      <c r="C31" s="25">
        <v>60</v>
      </c>
      <c r="D31" s="25">
        <f>75.2*0.6</f>
        <v>45.12</v>
      </c>
      <c r="E31" s="44">
        <f>1.52*0.6</f>
        <v>0.91199999999999992</v>
      </c>
      <c r="F31" s="44"/>
      <c r="G31" s="44">
        <f>5.13*0.6</f>
        <v>3.0779999999999998</v>
      </c>
      <c r="H31" s="44">
        <f>5.13*0.6</f>
        <v>3.0779999999999998</v>
      </c>
      <c r="I31" s="44">
        <f>13.18*0.6</f>
        <v>7.9079999999999995</v>
      </c>
      <c r="J31" s="44">
        <f>105.01*0.6</f>
        <v>63.006</v>
      </c>
      <c r="K31" s="44">
        <f>0.06*0.6</f>
        <v>3.5999999999999997E-2</v>
      </c>
      <c r="L31" s="44">
        <f>5.1*0.6</f>
        <v>3.0599999999999996</v>
      </c>
      <c r="M31" s="44"/>
      <c r="N31" s="44">
        <f>3.04*0.6</f>
        <v>1.8239999999999998</v>
      </c>
      <c r="O31" s="44">
        <f>37.64*0.6</f>
        <v>22.584</v>
      </c>
      <c r="P31" s="44">
        <f>56.5*0.6</f>
        <v>33.9</v>
      </c>
      <c r="Q31" s="44">
        <f>39.5*0.6</f>
        <v>23.7</v>
      </c>
      <c r="R31" s="45">
        <f>1.06*0.6</f>
        <v>0.63600000000000001</v>
      </c>
    </row>
    <row r="32" spans="1:30" ht="15.75">
      <c r="A32" s="46"/>
      <c r="B32" s="87" t="s">
        <v>25</v>
      </c>
      <c r="C32" s="12">
        <f>92.6*0.6</f>
        <v>55.559999999999995</v>
      </c>
      <c r="D32" s="1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.75">
      <c r="A33" s="47"/>
      <c r="B33" s="88" t="s">
        <v>207</v>
      </c>
      <c r="C33" s="18">
        <f>14.3*0.6</f>
        <v>8.58</v>
      </c>
      <c r="D33" s="18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>
      <c r="A34" s="47"/>
      <c r="B34" s="88" t="s">
        <v>208</v>
      </c>
      <c r="C34" s="18">
        <f>5.6*0.6</f>
        <v>3.36</v>
      </c>
      <c r="D34" s="18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5.75">
      <c r="A35" s="47"/>
      <c r="B35" s="88" t="s">
        <v>29</v>
      </c>
      <c r="C35" s="18">
        <f>2*0.6</f>
        <v>1.2</v>
      </c>
      <c r="D35" s="18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6.5" thickBot="1">
      <c r="A36" s="47"/>
      <c r="B36" s="88" t="s">
        <v>44</v>
      </c>
      <c r="C36" s="18">
        <v>1.5</v>
      </c>
      <c r="D36" s="1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34.5" customHeight="1" thickBot="1">
      <c r="A37" s="7" t="s">
        <v>327</v>
      </c>
      <c r="B37" s="8" t="s">
        <v>326</v>
      </c>
      <c r="C37" s="9">
        <v>250</v>
      </c>
      <c r="D37" s="9">
        <v>220.9</v>
      </c>
      <c r="E37" s="79">
        <v>2.73</v>
      </c>
      <c r="F37" s="79"/>
      <c r="G37" s="79">
        <v>2.8</v>
      </c>
      <c r="H37" s="79">
        <v>2.8</v>
      </c>
      <c r="I37" s="79">
        <v>20.45</v>
      </c>
      <c r="J37" s="79">
        <v>117.9</v>
      </c>
      <c r="K37" s="79">
        <v>0.15</v>
      </c>
      <c r="L37" s="79">
        <v>8.25</v>
      </c>
      <c r="M37" s="79"/>
      <c r="N37" s="79">
        <v>1.23</v>
      </c>
      <c r="O37" s="79">
        <v>15.2</v>
      </c>
      <c r="P37" s="79">
        <v>63.55</v>
      </c>
      <c r="Q37" s="79">
        <v>24.05</v>
      </c>
      <c r="R37" s="80">
        <v>0.98</v>
      </c>
    </row>
    <row r="38" spans="1:18" ht="17.25" customHeight="1">
      <c r="A38" s="46"/>
      <c r="B38" s="87" t="s">
        <v>48</v>
      </c>
      <c r="C38" s="12">
        <v>76</v>
      </c>
      <c r="D38" s="12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17.25" customHeight="1">
      <c r="A39" s="47"/>
      <c r="B39" s="88" t="s">
        <v>108</v>
      </c>
      <c r="C39" s="18">
        <v>6</v>
      </c>
      <c r="D39" s="18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7.25" customHeight="1">
      <c r="A40" s="47"/>
      <c r="B40" s="88" t="s">
        <v>25</v>
      </c>
      <c r="C40" s="18">
        <f>50/4</f>
        <v>12.5</v>
      </c>
      <c r="D40" s="18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7.25" customHeight="1">
      <c r="A41" s="48"/>
      <c r="B41" s="89" t="s">
        <v>49</v>
      </c>
      <c r="C41" s="14">
        <v>12</v>
      </c>
      <c r="D41" s="14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ht="17.25" customHeight="1">
      <c r="A42" s="48"/>
      <c r="B42" s="89" t="s">
        <v>44</v>
      </c>
      <c r="C42" s="14">
        <f>10/4</f>
        <v>2.5</v>
      </c>
      <c r="D42" s="14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17.25" customHeight="1">
      <c r="A43" s="48"/>
      <c r="B43" s="89" t="s">
        <v>104</v>
      </c>
      <c r="C43" s="14">
        <v>0.4</v>
      </c>
      <c r="D43" s="1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17.25" customHeight="1" thickBot="1">
      <c r="A44" s="48"/>
      <c r="B44" s="89" t="s">
        <v>211</v>
      </c>
      <c r="C44" s="14">
        <f>700/4</f>
        <v>175</v>
      </c>
      <c r="D44" s="14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ht="17.25" customHeight="1" thickBot="1">
      <c r="A45" s="7" t="s">
        <v>328</v>
      </c>
      <c r="B45" s="8" t="s">
        <v>212</v>
      </c>
      <c r="C45" s="9">
        <v>200</v>
      </c>
      <c r="D45" s="9">
        <v>140.66999999999999</v>
      </c>
      <c r="E45" s="79">
        <f>7.31*2</f>
        <v>14.62</v>
      </c>
      <c r="F45" s="79">
        <v>13.17</v>
      </c>
      <c r="G45" s="79">
        <f>7.32*2</f>
        <v>14.64</v>
      </c>
      <c r="H45" s="79">
        <v>2.5</v>
      </c>
      <c r="I45" s="79">
        <f>9.34*2</f>
        <v>18.68</v>
      </c>
      <c r="J45" s="79">
        <f>133.21*2</f>
        <v>266.42</v>
      </c>
      <c r="K45" s="79">
        <v>0.08</v>
      </c>
      <c r="L45" s="79">
        <f>23.14*2</f>
        <v>46.28</v>
      </c>
      <c r="M45" s="79">
        <v>0.04</v>
      </c>
      <c r="N45" s="79"/>
      <c r="O45" s="79">
        <f>40.24*2</f>
        <v>80.48</v>
      </c>
      <c r="P45" s="79">
        <f>81.52*2</f>
        <v>163.04</v>
      </c>
      <c r="Q45" s="79">
        <f>21.25*2</f>
        <v>42.5</v>
      </c>
      <c r="R45" s="80">
        <f>1.22*2</f>
        <v>2.44</v>
      </c>
    </row>
    <row r="46" spans="1:18" ht="17.25" customHeight="1">
      <c r="A46" s="3"/>
      <c r="B46" s="87" t="s">
        <v>213</v>
      </c>
      <c r="C46" s="12">
        <f>34.6*2</f>
        <v>69.2</v>
      </c>
      <c r="D46" s="1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7.25" customHeight="1">
      <c r="A47" s="46"/>
      <c r="B47" s="87" t="s">
        <v>214</v>
      </c>
      <c r="C47" s="12">
        <v>127</v>
      </c>
      <c r="D47" s="1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7.25" customHeight="1">
      <c r="A48" s="46"/>
      <c r="B48" s="87" t="s">
        <v>215</v>
      </c>
      <c r="C48" s="12">
        <v>16</v>
      </c>
      <c r="D48" s="1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30" ht="17.25" customHeight="1">
      <c r="A49" s="47"/>
      <c r="B49" s="88" t="s">
        <v>44</v>
      </c>
      <c r="C49" s="18">
        <v>2</v>
      </c>
      <c r="D49" s="18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30" ht="17.25" customHeight="1">
      <c r="A50" s="47"/>
      <c r="B50" s="88" t="s">
        <v>216</v>
      </c>
      <c r="C50" s="18">
        <v>2</v>
      </c>
      <c r="D50" s="18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30" ht="17.25" customHeight="1">
      <c r="A51" s="48"/>
      <c r="B51" s="89" t="s">
        <v>53</v>
      </c>
      <c r="C51" s="14">
        <v>5</v>
      </c>
      <c r="D51" s="14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30" ht="17.25" customHeight="1" thickBot="1">
      <c r="A52" s="48"/>
      <c r="B52" s="89" t="s">
        <v>104</v>
      </c>
      <c r="C52" s="14">
        <v>2.4</v>
      </c>
      <c r="D52" s="1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30" ht="17.25" customHeight="1" thickBot="1">
      <c r="A53" s="7" t="s">
        <v>329</v>
      </c>
      <c r="B53" s="8" t="s">
        <v>209</v>
      </c>
      <c r="C53" s="9">
        <v>200</v>
      </c>
      <c r="D53" s="9">
        <v>174.86</v>
      </c>
      <c r="E53" s="79">
        <v>0.16</v>
      </c>
      <c r="F53" s="79"/>
      <c r="G53" s="79">
        <v>0.16</v>
      </c>
      <c r="H53" s="79">
        <v>0.16</v>
      </c>
      <c r="I53" s="79">
        <v>23.88</v>
      </c>
      <c r="J53" s="79">
        <v>97.6</v>
      </c>
      <c r="K53" s="79">
        <v>0.01</v>
      </c>
      <c r="L53" s="79">
        <v>1.8</v>
      </c>
      <c r="M53" s="79"/>
      <c r="N53" s="79"/>
      <c r="O53" s="79">
        <v>6.4</v>
      </c>
      <c r="P53" s="79">
        <v>4.4000000000000004</v>
      </c>
      <c r="Q53" s="79">
        <v>3.6</v>
      </c>
      <c r="R53" s="80">
        <v>0.18</v>
      </c>
    </row>
    <row r="54" spans="1:30" ht="17.25" customHeight="1">
      <c r="A54" s="3"/>
      <c r="B54" s="87" t="s">
        <v>217</v>
      </c>
      <c r="C54" s="12">
        <v>44.4</v>
      </c>
      <c r="D54" s="12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30" ht="17.25" customHeight="1">
      <c r="A55" s="15"/>
      <c r="B55" s="88" t="s">
        <v>218</v>
      </c>
      <c r="C55" s="18">
        <f>222/5</f>
        <v>44.4</v>
      </c>
      <c r="D55" s="18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30" ht="17.25" customHeight="1">
      <c r="A56" s="5"/>
      <c r="B56" s="89" t="s">
        <v>54</v>
      </c>
      <c r="C56" s="14">
        <f>810/5</f>
        <v>162</v>
      </c>
      <c r="D56" s="14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30" ht="17.25" customHeight="1">
      <c r="A57" s="5"/>
      <c r="B57" s="89" t="s">
        <v>29</v>
      </c>
      <c r="C57" s="14">
        <v>12</v>
      </c>
      <c r="D57" s="14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30" ht="17.25" customHeight="1" thickBot="1">
      <c r="A58" s="5"/>
      <c r="B58" s="89" t="s">
        <v>55</v>
      </c>
      <c r="C58" s="14">
        <f>1/5</f>
        <v>0.2</v>
      </c>
      <c r="D58" s="14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30" ht="16.5" thickBot="1">
      <c r="A59" s="23" t="s">
        <v>35</v>
      </c>
      <c r="B59" s="24" t="s">
        <v>110</v>
      </c>
      <c r="C59" s="25">
        <v>20</v>
      </c>
      <c r="D59" s="25"/>
      <c r="E59" s="25">
        <v>1.2</v>
      </c>
      <c r="F59" s="25"/>
      <c r="G59" s="25">
        <v>1.8</v>
      </c>
      <c r="H59" s="25"/>
      <c r="I59" s="25">
        <v>13.6</v>
      </c>
      <c r="J59" s="25">
        <v>86</v>
      </c>
      <c r="K59" s="25">
        <f>0.08/100*20</f>
        <v>1.6E-2</v>
      </c>
      <c r="L59" s="25">
        <v>0</v>
      </c>
      <c r="M59" s="25">
        <v>2.2000000000000002</v>
      </c>
      <c r="N59" s="25">
        <f>3.5/100*20</f>
        <v>0.70000000000000007</v>
      </c>
      <c r="O59" s="25"/>
      <c r="P59" s="25">
        <f>1.9/100*20</f>
        <v>0.38</v>
      </c>
      <c r="Q59" s="25"/>
      <c r="R59" s="26"/>
    </row>
    <row r="60" spans="1:30" ht="16.5" thickBot="1">
      <c r="A60" s="19"/>
      <c r="B60" s="27" t="s">
        <v>110</v>
      </c>
      <c r="C60" s="21">
        <v>20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30" ht="16.5" thickBot="1">
      <c r="A61" s="23" t="s">
        <v>35</v>
      </c>
      <c r="B61" s="24" t="s">
        <v>36</v>
      </c>
      <c r="C61" s="25">
        <v>40</v>
      </c>
      <c r="D61" s="25">
        <v>15.2</v>
      </c>
      <c r="E61" s="25">
        <v>3.16</v>
      </c>
      <c r="F61" s="25"/>
      <c r="G61" s="25">
        <v>0.4</v>
      </c>
      <c r="H61" s="25">
        <v>0.4</v>
      </c>
      <c r="I61" s="25">
        <v>19.32</v>
      </c>
      <c r="J61" s="25">
        <v>93.52</v>
      </c>
      <c r="K61" s="25">
        <v>0.04</v>
      </c>
      <c r="L61" s="25"/>
      <c r="M61" s="25"/>
      <c r="N61" s="25">
        <v>0.52</v>
      </c>
      <c r="O61" s="25">
        <v>9.1999999999999993</v>
      </c>
      <c r="P61" s="25">
        <v>34.799999999999997</v>
      </c>
      <c r="Q61" s="25">
        <v>13.2</v>
      </c>
      <c r="R61" s="26">
        <v>0.44</v>
      </c>
    </row>
    <row r="62" spans="1:30" ht="16.5" thickBot="1">
      <c r="A62" s="19"/>
      <c r="B62" s="27" t="s">
        <v>37</v>
      </c>
      <c r="C62" s="21">
        <v>40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>
        <v>77</v>
      </c>
      <c r="T62">
        <v>79</v>
      </c>
      <c r="U62">
        <v>335</v>
      </c>
      <c r="V62">
        <v>2350</v>
      </c>
      <c r="W62">
        <v>1.2</v>
      </c>
      <c r="X62">
        <v>60</v>
      </c>
      <c r="Y62">
        <v>0.7</v>
      </c>
      <c r="Z62">
        <v>10</v>
      </c>
      <c r="AA62">
        <v>1100</v>
      </c>
      <c r="AB62">
        <v>1650</v>
      </c>
      <c r="AC62">
        <v>250</v>
      </c>
      <c r="AD62">
        <v>12</v>
      </c>
    </row>
    <row r="63" spans="1:30" ht="16.5" thickBot="1">
      <c r="A63" s="82"/>
      <c r="B63" s="83" t="s">
        <v>40</v>
      </c>
      <c r="C63" s="84"/>
      <c r="D63" s="84">
        <f t="shared" ref="D63:R63" si="1">SUM(D31:D62)</f>
        <v>596.75</v>
      </c>
      <c r="E63" s="186">
        <f t="shared" si="1"/>
        <v>22.782</v>
      </c>
      <c r="F63" s="186">
        <f t="shared" si="1"/>
        <v>13.17</v>
      </c>
      <c r="G63" s="186">
        <f t="shared" si="1"/>
        <v>22.878</v>
      </c>
      <c r="H63" s="186">
        <f t="shared" si="1"/>
        <v>8.9380000000000006</v>
      </c>
      <c r="I63" s="186">
        <f t="shared" si="1"/>
        <v>103.83799999999999</v>
      </c>
      <c r="J63" s="186">
        <f t="shared" si="1"/>
        <v>724.44600000000003</v>
      </c>
      <c r="K63" s="186">
        <f t="shared" si="1"/>
        <v>0.33200000000000002</v>
      </c>
      <c r="L63" s="186">
        <f t="shared" si="1"/>
        <v>59.39</v>
      </c>
      <c r="M63" s="186">
        <f t="shared" si="1"/>
        <v>2.2400000000000002</v>
      </c>
      <c r="N63" s="186">
        <f t="shared" si="1"/>
        <v>4.274</v>
      </c>
      <c r="O63" s="186">
        <f t="shared" si="1"/>
        <v>133.864</v>
      </c>
      <c r="P63" s="186">
        <f t="shared" si="1"/>
        <v>300.07</v>
      </c>
      <c r="Q63" s="186">
        <f t="shared" si="1"/>
        <v>107.05</v>
      </c>
      <c r="R63" s="186">
        <f t="shared" si="1"/>
        <v>4.6760000000000002</v>
      </c>
    </row>
    <row r="64" spans="1:30" ht="16.5" thickBot="1">
      <c r="A64" s="64"/>
      <c r="B64" s="65" t="s">
        <v>57</v>
      </c>
      <c r="C64" s="66"/>
      <c r="D64" s="66">
        <f t="shared" ref="D64:R64" si="2">D63+D29</f>
        <v>868.65</v>
      </c>
      <c r="E64" s="187">
        <f t="shared" si="2"/>
        <v>42.811999999999998</v>
      </c>
      <c r="F64" s="187">
        <f t="shared" si="2"/>
        <v>23.799999999999997</v>
      </c>
      <c r="G64" s="187">
        <f t="shared" si="2"/>
        <v>38.457999999999998</v>
      </c>
      <c r="H64" s="187">
        <f t="shared" si="2"/>
        <v>10.008000000000001</v>
      </c>
      <c r="I64" s="187">
        <f t="shared" si="2"/>
        <v>168.923</v>
      </c>
      <c r="J64" s="187">
        <f t="shared" si="2"/>
        <v>1211.6559999999999</v>
      </c>
      <c r="K64" s="187">
        <f t="shared" si="2"/>
        <v>0.47200000000000003</v>
      </c>
      <c r="L64" s="187">
        <f t="shared" si="2"/>
        <v>60.924999999999997</v>
      </c>
      <c r="M64" s="187">
        <f t="shared" si="2"/>
        <v>2.5050000000000003</v>
      </c>
      <c r="N64" s="187">
        <f t="shared" si="2"/>
        <v>4.7940000000000005</v>
      </c>
      <c r="O64" s="187">
        <f t="shared" si="2"/>
        <v>411.13400000000001</v>
      </c>
      <c r="P64" s="187">
        <f t="shared" si="2"/>
        <v>653.42000000000007</v>
      </c>
      <c r="Q64" s="187">
        <f t="shared" si="2"/>
        <v>168.13499999999999</v>
      </c>
      <c r="R64" s="187">
        <f t="shared" si="2"/>
        <v>8.8910000000000018</v>
      </c>
    </row>
  </sheetData>
  <mergeCells count="17">
    <mergeCell ref="W2:Z2"/>
    <mergeCell ref="AA2:AD2"/>
    <mergeCell ref="B3:Q3"/>
    <mergeCell ref="B4:Q4"/>
    <mergeCell ref="A30:R30"/>
    <mergeCell ref="G1:G2"/>
    <mergeCell ref="H1:H2"/>
    <mergeCell ref="I1:I2"/>
    <mergeCell ref="J1:J2"/>
    <mergeCell ref="K1:N1"/>
    <mergeCell ref="O1:R1"/>
    <mergeCell ref="A1:A2"/>
    <mergeCell ref="B1:B2"/>
    <mergeCell ref="C1:C2"/>
    <mergeCell ref="D1:D2"/>
    <mergeCell ref="E1:E2"/>
    <mergeCell ref="F1:F2"/>
  </mergeCells>
  <printOptions horizontalCentered="1" verticalCentered="1"/>
  <pageMargins left="0" right="0" top="0" bottom="0" header="0" footer="0"/>
  <pageSetup paperSize="9" scale="5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8"/>
  <sheetViews>
    <sheetView tabSelected="1" view="pageBreakPreview" zoomScale="60" zoomScaleNormal="100"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B38" sqref="B38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</cols>
  <sheetData>
    <row r="1" spans="1:18" ht="15.75">
      <c r="A1" s="232" t="s">
        <v>0</v>
      </c>
      <c r="B1" s="233" t="s">
        <v>1</v>
      </c>
      <c r="C1" s="234" t="s">
        <v>2</v>
      </c>
      <c r="D1" s="244" t="s">
        <v>3</v>
      </c>
      <c r="E1" s="241" t="s">
        <v>4</v>
      </c>
      <c r="F1" s="239" t="s">
        <v>5</v>
      </c>
      <c r="G1" s="241" t="s">
        <v>6</v>
      </c>
      <c r="H1" s="239" t="s">
        <v>7</v>
      </c>
      <c r="I1" s="234" t="s">
        <v>8</v>
      </c>
      <c r="J1" s="234" t="s">
        <v>9</v>
      </c>
      <c r="K1" s="237" t="s">
        <v>10</v>
      </c>
      <c r="L1" s="237"/>
      <c r="M1" s="237"/>
      <c r="N1" s="237"/>
      <c r="O1" s="237" t="s">
        <v>11</v>
      </c>
      <c r="P1" s="237"/>
      <c r="Q1" s="237"/>
      <c r="R1" s="237"/>
    </row>
    <row r="2" spans="1:18" ht="72" customHeight="1">
      <c r="A2" s="232"/>
      <c r="B2" s="233"/>
      <c r="C2" s="234"/>
      <c r="D2" s="245"/>
      <c r="E2" s="241"/>
      <c r="F2" s="240"/>
      <c r="G2" s="241"/>
      <c r="H2" s="240"/>
      <c r="I2" s="234"/>
      <c r="J2" s="234"/>
      <c r="K2" s="111" t="s">
        <v>12</v>
      </c>
      <c r="L2" s="111" t="s">
        <v>13</v>
      </c>
      <c r="M2" s="111" t="s">
        <v>14</v>
      </c>
      <c r="N2" s="111" t="s">
        <v>15</v>
      </c>
      <c r="O2" s="111" t="s">
        <v>16</v>
      </c>
      <c r="P2" s="111" t="s">
        <v>17</v>
      </c>
      <c r="Q2" s="111" t="s">
        <v>18</v>
      </c>
      <c r="R2" s="111" t="s">
        <v>19</v>
      </c>
    </row>
    <row r="3" spans="1:18" ht="15.75">
      <c r="A3" s="15"/>
      <c r="B3" s="246" t="s">
        <v>206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86"/>
    </row>
    <row r="4" spans="1:18" ht="16.5" thickBot="1">
      <c r="A4" s="5"/>
      <c r="B4" s="247" t="s">
        <v>21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6"/>
    </row>
    <row r="5" spans="1:18" ht="16.5" thickBot="1">
      <c r="A5" s="7" t="s">
        <v>331</v>
      </c>
      <c r="B5" s="8" t="s">
        <v>330</v>
      </c>
      <c r="C5" s="9">
        <v>100</v>
      </c>
      <c r="D5" s="9">
        <v>53.1</v>
      </c>
      <c r="E5" s="9">
        <v>12.76</v>
      </c>
      <c r="F5" s="9">
        <f>16.92/1.8</f>
        <v>9.4</v>
      </c>
      <c r="G5" s="9">
        <v>13.89</v>
      </c>
      <c r="H5" s="9">
        <f>2.16/1.8</f>
        <v>1.2</v>
      </c>
      <c r="I5" s="9">
        <v>13.82</v>
      </c>
      <c r="J5" s="9">
        <v>191.75</v>
      </c>
      <c r="K5" s="9">
        <v>0.05</v>
      </c>
      <c r="L5" s="9">
        <v>0.39</v>
      </c>
      <c r="M5" s="9">
        <v>0.06</v>
      </c>
      <c r="N5" s="9">
        <v>0</v>
      </c>
      <c r="O5" s="9">
        <v>144.5</v>
      </c>
      <c r="P5" s="9">
        <v>185.07</v>
      </c>
      <c r="Q5" s="9">
        <v>21.7</v>
      </c>
      <c r="R5" s="10">
        <v>0.64</v>
      </c>
    </row>
    <row r="6" spans="1:18" ht="15.75">
      <c r="A6" s="3"/>
      <c r="B6" s="87" t="s">
        <v>220</v>
      </c>
      <c r="C6" s="12">
        <v>85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ht="15.75">
      <c r="A7" s="3"/>
      <c r="B7" s="87" t="s">
        <v>196</v>
      </c>
      <c r="C7" s="12">
        <v>10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18" ht="15.75">
      <c r="A8" s="15"/>
      <c r="B8" s="88" t="s">
        <v>222</v>
      </c>
      <c r="C8" s="18">
        <v>7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18" ht="15.75">
      <c r="A9" s="15"/>
      <c r="B9" s="88" t="s">
        <v>29</v>
      </c>
      <c r="C9" s="18">
        <v>4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</row>
    <row r="10" spans="1:18" ht="15.75">
      <c r="A10" s="5"/>
      <c r="B10" s="89" t="s">
        <v>223</v>
      </c>
      <c r="C10" s="14">
        <v>3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</row>
    <row r="11" spans="1:18" ht="15.75">
      <c r="A11" s="5"/>
      <c r="B11" s="89" t="s">
        <v>53</v>
      </c>
      <c r="C11" s="14">
        <v>5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</row>
    <row r="12" spans="1:18" ht="15.75">
      <c r="A12" s="5"/>
      <c r="B12" s="89" t="s">
        <v>86</v>
      </c>
      <c r="C12" s="14">
        <f>2*2</f>
        <v>4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</row>
    <row r="13" spans="1:18" ht="16.5" thickBot="1">
      <c r="A13" s="5"/>
      <c r="B13" s="123" t="s">
        <v>71</v>
      </c>
      <c r="C13" s="124">
        <v>35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</row>
    <row r="14" spans="1:18" ht="16.5" thickBot="1">
      <c r="A14" s="7" t="s">
        <v>332</v>
      </c>
      <c r="B14" s="8" t="s">
        <v>74</v>
      </c>
      <c r="C14" s="9">
        <v>200</v>
      </c>
      <c r="D14" s="9">
        <v>168.4</v>
      </c>
      <c r="E14" s="79">
        <v>3.38</v>
      </c>
      <c r="F14" s="79">
        <v>2.78</v>
      </c>
      <c r="G14" s="79">
        <v>0.67</v>
      </c>
      <c r="H14" s="79">
        <v>0.67</v>
      </c>
      <c r="I14" s="79">
        <v>26</v>
      </c>
      <c r="J14" s="79">
        <v>125.11</v>
      </c>
      <c r="K14" s="79">
        <v>0.02</v>
      </c>
      <c r="L14" s="79">
        <v>1.33</v>
      </c>
      <c r="M14" s="79"/>
      <c r="N14" s="79"/>
      <c r="O14" s="79">
        <v>133.33000000000001</v>
      </c>
      <c r="P14" s="79">
        <v>111.11</v>
      </c>
      <c r="Q14" s="79">
        <v>25.56</v>
      </c>
      <c r="R14" s="80">
        <v>2</v>
      </c>
    </row>
    <row r="15" spans="1:18" ht="15.75">
      <c r="A15" s="209"/>
      <c r="B15" s="27" t="s">
        <v>75</v>
      </c>
      <c r="C15" s="21">
        <v>3</v>
      </c>
      <c r="D15" s="21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</row>
    <row r="16" spans="1:18" ht="15.75">
      <c r="A16" s="47"/>
      <c r="B16" s="88" t="s">
        <v>71</v>
      </c>
      <c r="C16" s="18">
        <v>180</v>
      </c>
      <c r="D16" s="1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5.75">
      <c r="A17" s="47"/>
      <c r="B17" s="88" t="s">
        <v>54</v>
      </c>
      <c r="C17" s="18">
        <v>94</v>
      </c>
      <c r="D17" s="1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16.5" thickBot="1">
      <c r="A18" s="209"/>
      <c r="B18" s="27" t="s">
        <v>29</v>
      </c>
      <c r="C18" s="21">
        <v>20</v>
      </c>
      <c r="D18" s="21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</row>
    <row r="19" spans="1:18" ht="16.5" thickBot="1">
      <c r="A19" s="23" t="s">
        <v>35</v>
      </c>
      <c r="B19" s="24" t="s">
        <v>110</v>
      </c>
      <c r="C19" s="25">
        <v>20</v>
      </c>
      <c r="D19" s="25"/>
      <c r="E19" s="25">
        <v>1</v>
      </c>
      <c r="F19" s="25"/>
      <c r="G19" s="25">
        <v>1.8</v>
      </c>
      <c r="H19" s="25"/>
      <c r="I19" s="25">
        <v>13.6</v>
      </c>
      <c r="J19" s="25">
        <v>86</v>
      </c>
      <c r="K19" s="25">
        <f>0.08/100*20</f>
        <v>1.6E-2</v>
      </c>
      <c r="L19" s="25">
        <v>0</v>
      </c>
      <c r="M19" s="25">
        <v>2.2000000000000002</v>
      </c>
      <c r="N19" s="25">
        <f>3.5/100*20</f>
        <v>0.70000000000000007</v>
      </c>
      <c r="O19" s="25"/>
      <c r="P19" s="25">
        <f>1.9/100*20</f>
        <v>0.38</v>
      </c>
      <c r="Q19" s="25"/>
      <c r="R19" s="26"/>
    </row>
    <row r="20" spans="1:18" ht="16.5" thickBot="1">
      <c r="A20" s="19"/>
      <c r="B20" s="27" t="s">
        <v>110</v>
      </c>
      <c r="C20" s="21">
        <v>20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6.5" thickBot="1">
      <c r="A21" s="23" t="s">
        <v>35</v>
      </c>
      <c r="B21" s="24" t="s">
        <v>36</v>
      </c>
      <c r="C21" s="25">
        <v>40</v>
      </c>
      <c r="D21" s="25">
        <v>15.2</v>
      </c>
      <c r="E21" s="25">
        <v>3.16</v>
      </c>
      <c r="F21" s="25"/>
      <c r="G21" s="25">
        <v>0.4</v>
      </c>
      <c r="H21" s="25">
        <v>0.4</v>
      </c>
      <c r="I21" s="25">
        <v>19.32</v>
      </c>
      <c r="J21" s="25">
        <v>93.52</v>
      </c>
      <c r="K21" s="25">
        <v>0.04</v>
      </c>
      <c r="L21" s="25"/>
      <c r="M21" s="25"/>
      <c r="N21" s="25">
        <v>0.52</v>
      </c>
      <c r="O21" s="25">
        <v>9.1999999999999993</v>
      </c>
      <c r="P21" s="25">
        <v>34.799999999999997</v>
      </c>
      <c r="Q21" s="25">
        <v>13.2</v>
      </c>
      <c r="R21" s="26">
        <v>0.44</v>
      </c>
    </row>
    <row r="22" spans="1:18" ht="16.5" thickBot="1">
      <c r="A22" s="19"/>
      <c r="B22" s="27" t="s">
        <v>37</v>
      </c>
      <c r="C22" s="21">
        <v>40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6.5" thickBot="1">
      <c r="A23" s="36"/>
      <c r="B23" s="37" t="s">
        <v>40</v>
      </c>
      <c r="C23" s="38"/>
      <c r="D23" s="38">
        <f t="shared" ref="D23:R23" si="0">SUM(D5:D22)</f>
        <v>236.7</v>
      </c>
      <c r="E23" s="38">
        <f t="shared" si="0"/>
        <v>20.3</v>
      </c>
      <c r="F23" s="38">
        <f t="shared" si="0"/>
        <v>12.18</v>
      </c>
      <c r="G23" s="38">
        <f t="shared" si="0"/>
        <v>16.759999999999998</v>
      </c>
      <c r="H23" s="38">
        <f t="shared" si="0"/>
        <v>2.27</v>
      </c>
      <c r="I23" s="38">
        <f t="shared" si="0"/>
        <v>72.740000000000009</v>
      </c>
      <c r="J23" s="38">
        <f t="shared" si="0"/>
        <v>496.38</v>
      </c>
      <c r="K23" s="38">
        <f t="shared" si="0"/>
        <v>0.126</v>
      </c>
      <c r="L23" s="38">
        <f t="shared" si="0"/>
        <v>1.7200000000000002</v>
      </c>
      <c r="M23" s="38">
        <f t="shared" si="0"/>
        <v>2.2600000000000002</v>
      </c>
      <c r="N23" s="38">
        <f t="shared" si="0"/>
        <v>1.2200000000000002</v>
      </c>
      <c r="O23" s="38">
        <f t="shared" si="0"/>
        <v>287.03000000000003</v>
      </c>
      <c r="P23" s="38">
        <f t="shared" si="0"/>
        <v>331.36</v>
      </c>
      <c r="Q23" s="38">
        <f t="shared" si="0"/>
        <v>60.459999999999994</v>
      </c>
      <c r="R23" s="38">
        <f t="shared" si="0"/>
        <v>3.08</v>
      </c>
    </row>
    <row r="24" spans="1:18" ht="16.5" thickBot="1">
      <c r="A24" s="19"/>
      <c r="B24" s="242" t="s">
        <v>41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81"/>
    </row>
    <row r="25" spans="1:18" ht="16.5" thickBot="1">
      <c r="A25" s="7" t="s">
        <v>333</v>
      </c>
      <c r="B25" s="8" t="s">
        <v>224</v>
      </c>
      <c r="C25" s="9">
        <v>100</v>
      </c>
      <c r="D25" s="9">
        <v>90.3</v>
      </c>
      <c r="E25" s="79">
        <v>0.67</v>
      </c>
      <c r="F25" s="79"/>
      <c r="G25" s="79">
        <v>6.09</v>
      </c>
      <c r="H25" s="79">
        <v>6.09</v>
      </c>
      <c r="I25" s="79">
        <v>1.81</v>
      </c>
      <c r="J25" s="79">
        <v>64.650000000000006</v>
      </c>
      <c r="K25" s="79">
        <v>0.03</v>
      </c>
      <c r="L25" s="79">
        <v>6.65</v>
      </c>
      <c r="M25" s="79"/>
      <c r="N25" s="79">
        <v>2.74</v>
      </c>
      <c r="O25" s="79">
        <v>16.149999999999999</v>
      </c>
      <c r="P25" s="79">
        <v>28.62</v>
      </c>
      <c r="Q25" s="79">
        <v>13.3</v>
      </c>
      <c r="R25" s="80">
        <v>0.48</v>
      </c>
    </row>
    <row r="26" spans="1:18" ht="15.75">
      <c r="A26" s="46"/>
      <c r="B26" s="87" t="s">
        <v>78</v>
      </c>
      <c r="C26" s="12">
        <v>90</v>
      </c>
      <c r="D26" s="12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.75">
      <c r="A27" s="47"/>
      <c r="B27" s="88" t="s">
        <v>49</v>
      </c>
      <c r="C27" s="18">
        <v>5</v>
      </c>
      <c r="D27" s="1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5.75">
      <c r="A28" s="47"/>
      <c r="B28" s="88" t="s">
        <v>44</v>
      </c>
      <c r="C28" s="18">
        <v>6</v>
      </c>
      <c r="D28" s="1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6.5" thickBot="1">
      <c r="A29" s="48"/>
      <c r="B29" s="123" t="s">
        <v>51</v>
      </c>
      <c r="C29" s="124">
        <v>0.4</v>
      </c>
      <c r="D29" s="14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6.5" thickBot="1">
      <c r="A30" s="7" t="s">
        <v>334</v>
      </c>
      <c r="B30" s="8" t="s">
        <v>225</v>
      </c>
      <c r="C30" s="9">
        <v>250</v>
      </c>
      <c r="D30" s="9">
        <v>215.3</v>
      </c>
      <c r="E30" s="79">
        <v>4.9000000000000004</v>
      </c>
      <c r="F30" s="79"/>
      <c r="G30" s="79">
        <v>5.33</v>
      </c>
      <c r="H30" s="79">
        <v>5.33</v>
      </c>
      <c r="I30" s="79">
        <v>19.23</v>
      </c>
      <c r="J30" s="79">
        <v>144.43</v>
      </c>
      <c r="K30" s="79">
        <v>0.15</v>
      </c>
      <c r="L30" s="79">
        <v>5.83</v>
      </c>
      <c r="M30" s="79"/>
      <c r="N30" s="79">
        <v>2.4500000000000002</v>
      </c>
      <c r="O30" s="79">
        <v>41.48</v>
      </c>
      <c r="P30" s="79">
        <v>137.78</v>
      </c>
      <c r="Q30" s="79">
        <v>38.25</v>
      </c>
      <c r="R30" s="80">
        <v>1.83</v>
      </c>
    </row>
    <row r="31" spans="1:18" ht="15.75">
      <c r="A31" s="3"/>
      <c r="B31" s="169" t="s">
        <v>48</v>
      </c>
      <c r="C31" s="170">
        <f>267/4</f>
        <v>66.75</v>
      </c>
      <c r="D31" s="12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.75">
      <c r="A32" s="15"/>
      <c r="B32" s="128" t="s">
        <v>226</v>
      </c>
      <c r="C32" s="129">
        <v>16.2</v>
      </c>
      <c r="D32" s="18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>
      <c r="A33" s="15"/>
      <c r="B33" s="128" t="s">
        <v>49</v>
      </c>
      <c r="C33" s="129">
        <v>12</v>
      </c>
      <c r="D33" s="18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>
      <c r="A34" s="15"/>
      <c r="B34" s="128" t="s">
        <v>25</v>
      </c>
      <c r="C34" s="129">
        <f>50/4</f>
        <v>12.5</v>
      </c>
      <c r="D34" s="18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5.75">
      <c r="A35" s="5"/>
      <c r="B35" s="123" t="s">
        <v>44</v>
      </c>
      <c r="C35" s="124">
        <v>5</v>
      </c>
      <c r="D35" s="1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5.75">
      <c r="A36" s="5"/>
      <c r="B36" s="123" t="s">
        <v>50</v>
      </c>
      <c r="C36" s="124">
        <f>700/4</f>
        <v>175</v>
      </c>
      <c r="D36" s="1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ht="16.5" thickBot="1">
      <c r="A37" s="5"/>
      <c r="B37" s="123" t="s">
        <v>51</v>
      </c>
      <c r="C37" s="124">
        <v>3.5</v>
      </c>
      <c r="D37" s="14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16.5" thickBot="1">
      <c r="A38" s="195" t="s">
        <v>352</v>
      </c>
      <c r="B38" s="198" t="s">
        <v>353</v>
      </c>
      <c r="C38" s="196">
        <v>200</v>
      </c>
      <c r="D38" s="9">
        <v>151.1</v>
      </c>
      <c r="E38" s="9">
        <v>12.93</v>
      </c>
      <c r="F38" s="9"/>
      <c r="G38" s="9">
        <v>10.93</v>
      </c>
      <c r="H38" s="9"/>
      <c r="I38" s="9">
        <v>20.399999999999999</v>
      </c>
      <c r="J38" s="9">
        <v>304.8</v>
      </c>
      <c r="K38" s="9">
        <v>0.15</v>
      </c>
      <c r="L38" s="9">
        <v>7.53</v>
      </c>
      <c r="M38" s="9">
        <v>0</v>
      </c>
      <c r="N38" s="9">
        <v>0</v>
      </c>
      <c r="O38" s="9">
        <v>34</v>
      </c>
      <c r="P38" s="9">
        <v>3.41</v>
      </c>
      <c r="Q38" s="9">
        <v>42</v>
      </c>
      <c r="R38" s="10">
        <v>2.33</v>
      </c>
    </row>
    <row r="39" spans="1:18" ht="15.75">
      <c r="A39" s="15"/>
      <c r="B39" s="199" t="s">
        <v>229</v>
      </c>
      <c r="C39" s="128" t="s">
        <v>230</v>
      </c>
      <c r="D39" s="19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.75">
      <c r="A40" s="15"/>
      <c r="B40" s="199" t="s">
        <v>231</v>
      </c>
      <c r="C40" s="128" t="s">
        <v>232</v>
      </c>
      <c r="D40" s="19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5.75">
      <c r="A41" s="15"/>
      <c r="B41" s="199" t="s">
        <v>233</v>
      </c>
      <c r="C41" s="128" t="s">
        <v>234</v>
      </c>
      <c r="D41" s="19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5.75">
      <c r="A42" s="15"/>
      <c r="B42" s="199" t="s">
        <v>167</v>
      </c>
      <c r="C42" s="197">
        <v>2.67</v>
      </c>
      <c r="D42" s="19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5.75">
      <c r="A43" s="15"/>
      <c r="B43" s="199" t="s">
        <v>235</v>
      </c>
      <c r="C43" s="128" t="s">
        <v>234</v>
      </c>
      <c r="D43" s="19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5.75">
      <c r="A44" s="15"/>
      <c r="B44" s="199" t="s">
        <v>159</v>
      </c>
      <c r="C44" s="128">
        <v>86</v>
      </c>
      <c r="D44" s="19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5.75">
      <c r="A45" s="15"/>
      <c r="B45" s="199" t="s">
        <v>236</v>
      </c>
      <c r="C45" s="128" t="s">
        <v>237</v>
      </c>
      <c r="D45" s="19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5.75">
      <c r="A46" s="15"/>
      <c r="B46" s="199" t="s">
        <v>238</v>
      </c>
      <c r="C46" s="128" t="s">
        <v>239</v>
      </c>
      <c r="D46" s="19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6.5" thickBot="1">
      <c r="A47" s="15"/>
      <c r="B47" s="199" t="s">
        <v>174</v>
      </c>
      <c r="C47" s="128" t="s">
        <v>240</v>
      </c>
      <c r="D47" s="19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6.5" thickBot="1">
      <c r="A48" s="7"/>
      <c r="B48" s="8" t="s">
        <v>193</v>
      </c>
      <c r="C48" s="9">
        <v>250</v>
      </c>
      <c r="D48" s="9">
        <f>161.4/200*250</f>
        <v>201.75</v>
      </c>
      <c r="E48" s="9">
        <f>1/200*250</f>
        <v>1.25</v>
      </c>
      <c r="F48" s="9"/>
      <c r="G48" s="9">
        <f>0.2/200*250</f>
        <v>0.25</v>
      </c>
      <c r="H48" s="9">
        <v>0.25</v>
      </c>
      <c r="I48" s="9">
        <v>35.25</v>
      </c>
      <c r="J48" s="9">
        <v>108.12</v>
      </c>
      <c r="K48" s="9">
        <v>2.5000000000000001E-2</v>
      </c>
      <c r="L48" s="9">
        <f>4/200*250</f>
        <v>5</v>
      </c>
      <c r="M48" s="9"/>
      <c r="N48" s="9">
        <v>0.25</v>
      </c>
      <c r="O48" s="9">
        <f>14/200*250</f>
        <v>17.5</v>
      </c>
      <c r="P48" s="9">
        <f>14/200*250</f>
        <v>17.5</v>
      </c>
      <c r="Q48" s="9">
        <f>8/200*250</f>
        <v>10</v>
      </c>
      <c r="R48" s="10">
        <f>2.8/200*250</f>
        <v>3.4999999999999996</v>
      </c>
    </row>
    <row r="49" spans="1:18" ht="16.5" thickBot="1">
      <c r="A49" s="19"/>
      <c r="B49" s="167" t="s">
        <v>193</v>
      </c>
      <c r="C49" s="22">
        <v>250</v>
      </c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6.5" thickBot="1">
      <c r="A50" s="23" t="s">
        <v>35</v>
      </c>
      <c r="B50" s="24" t="s">
        <v>36</v>
      </c>
      <c r="C50" s="25">
        <v>40</v>
      </c>
      <c r="D50" s="25">
        <v>15.2</v>
      </c>
      <c r="E50" s="25">
        <v>3.16</v>
      </c>
      <c r="F50" s="25"/>
      <c r="G50" s="25">
        <v>0.4</v>
      </c>
      <c r="H50" s="25">
        <v>0.4</v>
      </c>
      <c r="I50" s="25">
        <v>19.32</v>
      </c>
      <c r="J50" s="25">
        <v>93.52</v>
      </c>
      <c r="K50" s="25">
        <v>0.04</v>
      </c>
      <c r="L50" s="25"/>
      <c r="M50" s="25"/>
      <c r="N50" s="25">
        <v>0.52</v>
      </c>
      <c r="O50" s="25">
        <v>9.1999999999999993</v>
      </c>
      <c r="P50" s="25">
        <v>34.799999999999997</v>
      </c>
      <c r="Q50" s="25">
        <v>13.2</v>
      </c>
      <c r="R50" s="26">
        <v>0.44</v>
      </c>
    </row>
    <row r="51" spans="1:18" ht="16.5" thickBot="1">
      <c r="A51" s="19"/>
      <c r="B51" s="27" t="s">
        <v>37</v>
      </c>
      <c r="C51" s="21">
        <v>40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6.5" thickBot="1">
      <c r="A52" s="64"/>
      <c r="B52" s="65" t="s">
        <v>40</v>
      </c>
      <c r="C52" s="66"/>
      <c r="D52" s="66">
        <f t="shared" ref="D52:R52" si="1">SUM(D25:D51)</f>
        <v>673.65000000000009</v>
      </c>
      <c r="E52" s="66">
        <f t="shared" si="1"/>
        <v>22.91</v>
      </c>
      <c r="F52" s="66">
        <f t="shared" si="1"/>
        <v>0</v>
      </c>
      <c r="G52" s="66">
        <f t="shared" si="1"/>
        <v>23</v>
      </c>
      <c r="H52" s="66">
        <f t="shared" si="1"/>
        <v>12.07</v>
      </c>
      <c r="I52" s="66">
        <f t="shared" si="1"/>
        <v>96.009999999999991</v>
      </c>
      <c r="J52" s="66">
        <f t="shared" si="1"/>
        <v>715.52</v>
      </c>
      <c r="K52" s="66">
        <f t="shared" si="1"/>
        <v>0.39499999999999996</v>
      </c>
      <c r="L52" s="66">
        <f t="shared" si="1"/>
        <v>25.01</v>
      </c>
      <c r="M52" s="66">
        <f t="shared" si="1"/>
        <v>0</v>
      </c>
      <c r="N52" s="66">
        <f t="shared" si="1"/>
        <v>5.9600000000000009</v>
      </c>
      <c r="O52" s="66">
        <f t="shared" si="1"/>
        <v>118.33</v>
      </c>
      <c r="P52" s="66">
        <f t="shared" si="1"/>
        <v>222.11</v>
      </c>
      <c r="Q52" s="66">
        <f t="shared" si="1"/>
        <v>116.75</v>
      </c>
      <c r="R52" s="66">
        <f t="shared" si="1"/>
        <v>8.58</v>
      </c>
    </row>
    <row r="53" spans="1:18" ht="16.5" thickBot="1">
      <c r="A53" s="67"/>
      <c r="B53" s="68" t="s">
        <v>57</v>
      </c>
      <c r="C53" s="69"/>
      <c r="D53" s="69">
        <f t="shared" ref="D53:R53" si="2">D52+D23</f>
        <v>910.35000000000014</v>
      </c>
      <c r="E53" s="69">
        <f t="shared" si="2"/>
        <v>43.21</v>
      </c>
      <c r="F53" s="69">
        <f t="shared" si="2"/>
        <v>12.18</v>
      </c>
      <c r="G53" s="69">
        <f t="shared" si="2"/>
        <v>39.76</v>
      </c>
      <c r="H53" s="69">
        <f t="shared" si="2"/>
        <v>14.34</v>
      </c>
      <c r="I53" s="69">
        <f t="shared" si="2"/>
        <v>168.75</v>
      </c>
      <c r="J53" s="69">
        <f t="shared" si="2"/>
        <v>1211.9000000000001</v>
      </c>
      <c r="K53" s="69">
        <f t="shared" si="2"/>
        <v>0.52099999999999991</v>
      </c>
      <c r="L53" s="69">
        <f t="shared" si="2"/>
        <v>26.73</v>
      </c>
      <c r="M53" s="69">
        <f t="shared" si="2"/>
        <v>2.2600000000000002</v>
      </c>
      <c r="N53" s="69">
        <f t="shared" si="2"/>
        <v>7.1800000000000015</v>
      </c>
      <c r="O53" s="69">
        <f t="shared" si="2"/>
        <v>405.36</v>
      </c>
      <c r="P53" s="69">
        <f t="shared" si="2"/>
        <v>553.47</v>
      </c>
      <c r="Q53" s="69">
        <f t="shared" si="2"/>
        <v>177.20999999999998</v>
      </c>
      <c r="R53" s="69">
        <f t="shared" si="2"/>
        <v>11.66</v>
      </c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</sheetData>
  <mergeCells count="15">
    <mergeCell ref="A1:A2"/>
    <mergeCell ref="B1:B2"/>
    <mergeCell ref="C1:C2"/>
    <mergeCell ref="D1:D2"/>
    <mergeCell ref="E1:E2"/>
    <mergeCell ref="B3:Q3"/>
    <mergeCell ref="B4:Q4"/>
    <mergeCell ref="B24:Q24"/>
    <mergeCell ref="G1:G2"/>
    <mergeCell ref="H1:H2"/>
    <mergeCell ref="I1:I2"/>
    <mergeCell ref="J1:J2"/>
    <mergeCell ref="K1:N1"/>
    <mergeCell ref="O1:R1"/>
    <mergeCell ref="F1:F2"/>
  </mergeCells>
  <hyperlinks>
    <hyperlink ref="B39" r:id="rId1" tooltip="Смотреть информацию о продукте" display="https://ekodiet.ru/produkty-informaciya/Govyadina-(tazobedrennaya-chast',bokovoy-kusok)"/>
    <hyperlink ref="B40" r:id="rId2" tooltip="Смотреть информацию о продукте" display="https://ekodiet.ru/produkty-informaciya/Tomat-pyure"/>
    <hyperlink ref="B41" r:id="rId3" tooltip="Смотреть информацию о продукте" display="https://ekodiet.ru/produkty-informaciya/Luk-repchatyy"/>
    <hyperlink ref="B42" r:id="rId4" tooltip="Смотреть информацию о продукте" display="https://ekodiet.ru/produkty-informaciya/Pshenichnaya-vysshego-sorta-"/>
    <hyperlink ref="B43" r:id="rId5" tooltip="Смотреть информацию о продукте" display="https://ekodiet.ru/produkty-informaciya/Ogurcy"/>
    <hyperlink ref="B44" r:id="rId6" tooltip="Смотреть информацию о продукте" display="https://ekodiet.ru/produkty-informaciya/Kartofel'"/>
    <hyperlink ref="B45" r:id="rId7" tooltip="Смотреть информацию о продукте" display="https://ekodiet.ru/produkty-informaciya/Chesnok"/>
    <hyperlink ref="B46" r:id="rId8" tooltip="Смотреть информацию о продукте" display="https://ekodiet.ru/produkty-informaciya/Voda-pit'evaya"/>
    <hyperlink ref="B47" r:id="rId9" tooltip="Смотреть информацию о продукте" display="https://ekodiet.ru/produkty-informaciya/Sol'-povarennaya-pishchevaya"/>
  </hyperlinks>
  <printOptions horizontalCentered="1" verticalCentered="1"/>
  <pageMargins left="0" right="0" top="0" bottom="0" header="0" footer="0"/>
  <pageSetup paperSize="9" scale="53" orientation="landscape" verticalDpi="0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5"/>
  <sheetViews>
    <sheetView view="pageBreakPreview" zoomScale="60" zoomScaleNormal="50" workbookViewId="0">
      <pane xSplit="1" ySplit="2" topLeftCell="B28" activePane="bottomRight" state="frozen"/>
      <selection pane="topRight" activeCell="B1" sqref="B1"/>
      <selection pane="bottomLeft" activeCell="A3" sqref="A3"/>
      <selection pane="bottomRight" activeCell="A49" sqref="A49"/>
    </sheetView>
  </sheetViews>
  <sheetFormatPr defaultRowHeight="15"/>
  <cols>
    <col min="2" max="2" width="48.85546875" style="78" customWidth="1"/>
    <col min="3" max="10" width="15.85546875" customWidth="1"/>
    <col min="11" max="18" width="10.42578125" customWidth="1"/>
    <col min="26" max="26" width="8" customWidth="1"/>
  </cols>
  <sheetData>
    <row r="1" spans="1:30" ht="15.75">
      <c r="A1" s="232" t="s">
        <v>0</v>
      </c>
      <c r="B1" s="233" t="s">
        <v>1</v>
      </c>
      <c r="C1" s="234" t="s">
        <v>2</v>
      </c>
      <c r="D1" s="244" t="s">
        <v>3</v>
      </c>
      <c r="E1" s="241" t="s">
        <v>4</v>
      </c>
      <c r="F1" s="239" t="s">
        <v>5</v>
      </c>
      <c r="G1" s="241" t="s">
        <v>6</v>
      </c>
      <c r="H1" s="239" t="s">
        <v>7</v>
      </c>
      <c r="I1" s="234" t="s">
        <v>8</v>
      </c>
      <c r="J1" s="234" t="s">
        <v>9</v>
      </c>
      <c r="K1" s="237" t="s">
        <v>10</v>
      </c>
      <c r="L1" s="237"/>
      <c r="M1" s="237"/>
      <c r="N1" s="237"/>
      <c r="O1" s="237" t="s">
        <v>11</v>
      </c>
      <c r="P1" s="237"/>
      <c r="Q1" s="237"/>
      <c r="R1" s="237"/>
    </row>
    <row r="2" spans="1:30" ht="72" customHeight="1">
      <c r="A2" s="232"/>
      <c r="B2" s="233"/>
      <c r="C2" s="234"/>
      <c r="D2" s="245"/>
      <c r="E2" s="241"/>
      <c r="F2" s="240"/>
      <c r="G2" s="241"/>
      <c r="H2" s="240"/>
      <c r="I2" s="234"/>
      <c r="J2" s="234"/>
      <c r="K2" s="137" t="s">
        <v>12</v>
      </c>
      <c r="L2" s="137" t="s">
        <v>13</v>
      </c>
      <c r="M2" s="137" t="s">
        <v>14</v>
      </c>
      <c r="N2" s="137" t="s">
        <v>15</v>
      </c>
      <c r="O2" s="137" t="s">
        <v>16</v>
      </c>
      <c r="P2" s="137" t="s">
        <v>17</v>
      </c>
      <c r="Q2" s="137" t="s">
        <v>18</v>
      </c>
      <c r="R2" s="137" t="s">
        <v>19</v>
      </c>
      <c r="S2" s="136" t="s">
        <v>4</v>
      </c>
      <c r="T2" s="136" t="s">
        <v>6</v>
      </c>
      <c r="U2" s="136" t="s">
        <v>8</v>
      </c>
      <c r="V2" s="136" t="s">
        <v>9</v>
      </c>
      <c r="W2" s="237" t="s">
        <v>10</v>
      </c>
      <c r="X2" s="237"/>
      <c r="Y2" s="237"/>
      <c r="Z2" s="237"/>
      <c r="AA2" s="237" t="s">
        <v>11</v>
      </c>
      <c r="AB2" s="237"/>
      <c r="AC2" s="237"/>
      <c r="AD2" s="237"/>
    </row>
    <row r="3" spans="1:30" ht="15.75">
      <c r="A3" s="15"/>
      <c r="B3" s="255" t="s">
        <v>248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  <c r="R3" s="86"/>
    </row>
    <row r="4" spans="1:30" ht="16.5" thickBot="1">
      <c r="A4" s="5"/>
      <c r="B4" s="258" t="s">
        <v>21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  <c r="R4" s="6"/>
    </row>
    <row r="5" spans="1:30" ht="16.5" thickBot="1">
      <c r="A5" s="7" t="s">
        <v>336</v>
      </c>
      <c r="B5" s="8" t="s">
        <v>243</v>
      </c>
      <c r="C5" s="9">
        <v>200</v>
      </c>
      <c r="D5" s="9">
        <v>153.5</v>
      </c>
      <c r="E5" s="9">
        <v>6.2</v>
      </c>
      <c r="F5" s="9">
        <v>2.72</v>
      </c>
      <c r="G5" s="9">
        <v>6.1</v>
      </c>
      <c r="H5" s="9">
        <v>0.3</v>
      </c>
      <c r="I5" s="9">
        <v>26.5</v>
      </c>
      <c r="J5" s="9">
        <v>158.6</v>
      </c>
      <c r="K5" s="9">
        <v>0.04</v>
      </c>
      <c r="L5" s="9">
        <v>0.36</v>
      </c>
      <c r="M5" s="9">
        <v>32.700000000000003</v>
      </c>
      <c r="N5" s="9">
        <v>0.1</v>
      </c>
      <c r="O5" s="9">
        <v>132.63999999999999</v>
      </c>
      <c r="P5" s="9">
        <v>109.74</v>
      </c>
      <c r="Q5" s="9">
        <v>17.059999999999999</v>
      </c>
      <c r="R5" s="10">
        <v>0.26</v>
      </c>
    </row>
    <row r="6" spans="1:30" ht="15.75">
      <c r="A6" s="46"/>
      <c r="B6" s="125" t="s">
        <v>222</v>
      </c>
      <c r="C6" s="12">
        <v>20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30" ht="15.75">
      <c r="A7" s="47"/>
      <c r="B7" s="126" t="s">
        <v>71</v>
      </c>
      <c r="C7" s="18">
        <v>180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</row>
    <row r="8" spans="1:30" ht="15.75">
      <c r="A8" s="47"/>
      <c r="B8" s="126" t="s">
        <v>54</v>
      </c>
      <c r="C8" s="18">
        <v>75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</row>
    <row r="9" spans="1:30" ht="15.75">
      <c r="A9" s="48"/>
      <c r="B9" s="127" t="s">
        <v>29</v>
      </c>
      <c r="C9" s="14">
        <v>6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</row>
    <row r="10" spans="1:30" ht="16.5" thickBot="1">
      <c r="A10" s="48"/>
      <c r="B10" s="127" t="s">
        <v>53</v>
      </c>
      <c r="C10" s="14">
        <v>10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30" ht="16.5" thickBot="1">
      <c r="A11" s="174" t="s">
        <v>322</v>
      </c>
      <c r="B11" s="175" t="s">
        <v>210</v>
      </c>
      <c r="C11" s="176">
        <v>50</v>
      </c>
      <c r="D11" s="177"/>
      <c r="E11" s="178">
        <f>10.48*0.5</f>
        <v>5.24</v>
      </c>
      <c r="F11" s="178"/>
      <c r="G11" s="178">
        <f>10.9*0.5</f>
        <v>5.45</v>
      </c>
      <c r="H11" s="178"/>
      <c r="I11" s="178">
        <v>16.559999999999999</v>
      </c>
      <c r="J11" s="178">
        <f>287.3*0.5</f>
        <v>143.65</v>
      </c>
      <c r="K11" s="178">
        <f>0.08*0.5</f>
        <v>0.04</v>
      </c>
      <c r="L11" s="178">
        <f>0.05*0.5</f>
        <v>2.5000000000000001E-2</v>
      </c>
      <c r="M11" s="178">
        <f>0.09*0.5</f>
        <v>4.4999999999999998E-2</v>
      </c>
      <c r="N11" s="178">
        <v>0</v>
      </c>
      <c r="O11" s="178">
        <f>67.84*0.5</f>
        <v>33.92</v>
      </c>
      <c r="P11" s="178">
        <f>111.88*0.5</f>
        <v>55.94</v>
      </c>
      <c r="Q11" s="178">
        <f>15.85*0.5</f>
        <v>7.9249999999999998</v>
      </c>
      <c r="R11" s="179">
        <f>0.91*0.5</f>
        <v>0.45500000000000002</v>
      </c>
    </row>
    <row r="12" spans="1:30" ht="15.75">
      <c r="A12" s="171"/>
      <c r="B12" s="169" t="s">
        <v>28</v>
      </c>
      <c r="C12" s="170">
        <f>44*0.5</f>
        <v>22</v>
      </c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</row>
    <row r="13" spans="1:30" ht="15.75">
      <c r="A13" s="172"/>
      <c r="B13" s="128" t="s">
        <v>71</v>
      </c>
      <c r="C13" s="129">
        <f>22*0.5</f>
        <v>11</v>
      </c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</row>
    <row r="14" spans="1:30" ht="15.75">
      <c r="A14" s="172"/>
      <c r="B14" s="128" t="s">
        <v>196</v>
      </c>
      <c r="C14" s="129">
        <f>10*0.5</f>
        <v>5</v>
      </c>
      <c r="D14" s="181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30" ht="15.75">
      <c r="A15" s="172"/>
      <c r="B15" s="128" t="s">
        <v>29</v>
      </c>
      <c r="C15" s="129">
        <f>5*0.5</f>
        <v>2.5</v>
      </c>
      <c r="D15" s="181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</row>
    <row r="16" spans="1:30" ht="15.75">
      <c r="A16" s="172"/>
      <c r="B16" s="128" t="s">
        <v>219</v>
      </c>
      <c r="C16" s="129">
        <v>2</v>
      </c>
      <c r="D16" s="181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8" ht="15.75">
      <c r="A17" s="172"/>
      <c r="B17" s="128" t="s">
        <v>53</v>
      </c>
      <c r="C17" s="129">
        <v>2.5</v>
      </c>
      <c r="D17" s="181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ht="15.75">
      <c r="A18" s="172"/>
      <c r="B18" s="128" t="s">
        <v>44</v>
      </c>
      <c r="C18" s="129">
        <f>3*0.5</f>
        <v>1.5</v>
      </c>
      <c r="D18" s="18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</row>
    <row r="19" spans="1:18" ht="15.75">
      <c r="A19" s="172"/>
      <c r="B19" s="128" t="s">
        <v>220</v>
      </c>
      <c r="C19" s="129">
        <f>23*0.5</f>
        <v>11.5</v>
      </c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</row>
    <row r="20" spans="1:18" ht="15.75">
      <c r="A20" s="172"/>
      <c r="B20" s="128" t="s">
        <v>29</v>
      </c>
      <c r="C20" s="129">
        <f>3*0.5</f>
        <v>1.5</v>
      </c>
      <c r="D20" s="181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</row>
    <row r="21" spans="1:18" ht="15.75">
      <c r="A21" s="172"/>
      <c r="B21" s="128" t="s">
        <v>196</v>
      </c>
      <c r="C21" s="129">
        <v>5</v>
      </c>
      <c r="D21" s="181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</row>
    <row r="22" spans="1:18" ht="16.5" thickBot="1">
      <c r="A22" s="172"/>
      <c r="B22" s="128" t="s">
        <v>44</v>
      </c>
      <c r="C22" s="129">
        <f>2*0.5</f>
        <v>1</v>
      </c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</row>
    <row r="23" spans="1:18" ht="16.5" thickBot="1">
      <c r="A23" s="7"/>
      <c r="B23" s="8" t="s">
        <v>189</v>
      </c>
      <c r="C23" s="9">
        <v>250</v>
      </c>
      <c r="D23" s="9">
        <f>110.4</f>
        <v>110.4</v>
      </c>
      <c r="E23" s="59">
        <f>2.9*1.25</f>
        <v>3.625</v>
      </c>
      <c r="F23" s="59">
        <v>3.625</v>
      </c>
      <c r="G23" s="59">
        <f>3.2*1.25</f>
        <v>4</v>
      </c>
      <c r="H23" s="59"/>
      <c r="I23" s="59">
        <f>4*1.25</f>
        <v>5</v>
      </c>
      <c r="J23" s="59">
        <f>92*1.25</f>
        <v>115</v>
      </c>
      <c r="K23" s="59">
        <v>0.04</v>
      </c>
      <c r="L23" s="59">
        <v>0.88</v>
      </c>
      <c r="M23" s="59">
        <v>25</v>
      </c>
      <c r="N23" s="59"/>
      <c r="O23" s="59">
        <f>240/200*125</f>
        <v>150</v>
      </c>
      <c r="P23" s="59">
        <v>118.75</v>
      </c>
      <c r="Q23" s="59">
        <v>17.5</v>
      </c>
      <c r="R23" s="60">
        <v>0.13</v>
      </c>
    </row>
    <row r="24" spans="1:18" ht="16.5" thickBot="1">
      <c r="A24" s="19"/>
      <c r="B24" s="180" t="s">
        <v>247</v>
      </c>
      <c r="C24" s="22">
        <v>250</v>
      </c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6.5" thickBot="1">
      <c r="A25" s="23" t="s">
        <v>35</v>
      </c>
      <c r="B25" s="24" t="s">
        <v>36</v>
      </c>
      <c r="C25" s="25">
        <v>40</v>
      </c>
      <c r="D25" s="25">
        <v>15.2</v>
      </c>
      <c r="E25" s="25">
        <v>3.16</v>
      </c>
      <c r="F25" s="25"/>
      <c r="G25" s="25">
        <v>0.4</v>
      </c>
      <c r="H25" s="25">
        <v>0.4</v>
      </c>
      <c r="I25" s="25">
        <v>19.32</v>
      </c>
      <c r="J25" s="25">
        <v>93.52</v>
      </c>
      <c r="K25" s="25">
        <v>0.04</v>
      </c>
      <c r="L25" s="25"/>
      <c r="M25" s="25"/>
      <c r="N25" s="25">
        <v>0.52</v>
      </c>
      <c r="O25" s="25">
        <v>9.1999999999999993</v>
      </c>
      <c r="P25" s="25">
        <v>34.799999999999997</v>
      </c>
      <c r="Q25" s="25">
        <v>13.2</v>
      </c>
      <c r="R25" s="26">
        <v>0.44</v>
      </c>
    </row>
    <row r="26" spans="1:18" ht="16.5" thickBot="1">
      <c r="A26" s="19"/>
      <c r="B26" s="27" t="s">
        <v>37</v>
      </c>
      <c r="C26" s="21">
        <v>40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6.5" thickBot="1">
      <c r="A27" s="36"/>
      <c r="B27" s="37" t="s">
        <v>40</v>
      </c>
      <c r="C27" s="38"/>
      <c r="D27" s="38">
        <f t="shared" ref="D27:R27" si="0">SUM(D4:D26)</f>
        <v>279.09999999999997</v>
      </c>
      <c r="E27" s="38">
        <f t="shared" si="0"/>
        <v>18.225000000000001</v>
      </c>
      <c r="F27" s="38">
        <f t="shared" si="0"/>
        <v>6.3450000000000006</v>
      </c>
      <c r="G27" s="122">
        <f t="shared" si="0"/>
        <v>15.950000000000001</v>
      </c>
      <c r="H27" s="38">
        <f t="shared" si="0"/>
        <v>0.7</v>
      </c>
      <c r="I27" s="38">
        <f t="shared" si="0"/>
        <v>67.38</v>
      </c>
      <c r="J27" s="38">
        <f t="shared" si="0"/>
        <v>510.77</v>
      </c>
      <c r="K27" s="38">
        <f t="shared" si="0"/>
        <v>0.16</v>
      </c>
      <c r="L27" s="38">
        <f t="shared" si="0"/>
        <v>1.2650000000000001</v>
      </c>
      <c r="M27" s="38">
        <f t="shared" si="0"/>
        <v>57.745000000000005</v>
      </c>
      <c r="N27" s="38">
        <f t="shared" si="0"/>
        <v>0.62</v>
      </c>
      <c r="O27" s="38">
        <f t="shared" si="0"/>
        <v>325.76</v>
      </c>
      <c r="P27" s="38">
        <f t="shared" si="0"/>
        <v>319.23</v>
      </c>
      <c r="Q27" s="38">
        <f t="shared" si="0"/>
        <v>55.685000000000002</v>
      </c>
      <c r="R27" s="38">
        <f t="shared" si="0"/>
        <v>1.2850000000000001</v>
      </c>
    </row>
    <row r="28" spans="1:18" ht="16.5" thickBot="1">
      <c r="A28" s="19"/>
      <c r="B28" s="261" t="s">
        <v>41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3"/>
      <c r="R28" s="135"/>
    </row>
    <row r="29" spans="1:18" ht="31.5" customHeight="1" thickBot="1">
      <c r="A29" s="7" t="s">
        <v>337</v>
      </c>
      <c r="B29" s="8" t="s">
        <v>249</v>
      </c>
      <c r="C29" s="9">
        <v>100</v>
      </c>
      <c r="D29" s="9"/>
      <c r="E29" s="79">
        <v>0.81</v>
      </c>
      <c r="F29" s="79"/>
      <c r="G29" s="79">
        <v>7.07</v>
      </c>
      <c r="H29" s="79"/>
      <c r="I29" s="79">
        <v>2.76</v>
      </c>
      <c r="J29" s="79">
        <v>77.61</v>
      </c>
      <c r="K29" s="79">
        <v>0.04</v>
      </c>
      <c r="L29" s="79">
        <v>31.08</v>
      </c>
      <c r="M29" s="79">
        <v>0</v>
      </c>
      <c r="N29" s="79">
        <v>0</v>
      </c>
      <c r="O29" s="79">
        <v>19.75</v>
      </c>
      <c r="P29" s="79">
        <v>36.229999999999997</v>
      </c>
      <c r="Q29" s="79">
        <v>12.76</v>
      </c>
      <c r="R29" s="80">
        <v>0.56000000000000005</v>
      </c>
    </row>
    <row r="30" spans="1:18" ht="15.75">
      <c r="A30" s="46"/>
      <c r="B30" s="125" t="s">
        <v>43</v>
      </c>
      <c r="C30" s="12">
        <v>86</v>
      </c>
      <c r="D30" s="12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.75">
      <c r="A31" s="47"/>
      <c r="B31" s="126" t="s">
        <v>250</v>
      </c>
      <c r="C31" s="18">
        <v>16</v>
      </c>
      <c r="D31" s="18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6.5" thickBot="1">
      <c r="A32" s="48"/>
      <c r="B32" s="127" t="s">
        <v>44</v>
      </c>
      <c r="C32" s="14">
        <v>2.5</v>
      </c>
      <c r="D32" s="1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6.5" thickBot="1">
      <c r="A33" s="7" t="s">
        <v>339</v>
      </c>
      <c r="B33" s="8" t="s">
        <v>338</v>
      </c>
      <c r="C33" s="9">
        <v>200</v>
      </c>
      <c r="D33" s="9">
        <f>223.8/2.5*2</f>
        <v>179.04000000000002</v>
      </c>
      <c r="E33" s="9">
        <f>1.54*2</f>
        <v>3.08</v>
      </c>
      <c r="F33" s="9"/>
      <c r="G33" s="9">
        <f>2.18/2.5*2</f>
        <v>1.7440000000000002</v>
      </c>
      <c r="H33" s="9">
        <v>1.74</v>
      </c>
      <c r="I33" s="9">
        <f>6.8/2.5*2</f>
        <v>5.4399999999999995</v>
      </c>
      <c r="J33" s="9">
        <v>64.98</v>
      </c>
      <c r="K33" s="9">
        <f>0.08/2.5*2</f>
        <v>6.4000000000000001E-2</v>
      </c>
      <c r="L33" s="9">
        <f>12.48/2.5*2</f>
        <v>9.984</v>
      </c>
      <c r="M33" s="9">
        <f>0.03/2.5*2</f>
        <v>2.4E-2</v>
      </c>
      <c r="N33" s="9">
        <v>0</v>
      </c>
      <c r="O33" s="9">
        <f>73.93/2.5*2</f>
        <v>59.144000000000005</v>
      </c>
      <c r="P33" s="9">
        <f>159.03/2.5*2</f>
        <v>127.224</v>
      </c>
      <c r="Q33" s="9">
        <f>30.98/2.5*2</f>
        <v>24.783999999999999</v>
      </c>
      <c r="R33" s="10">
        <f>0.44*2</f>
        <v>0.88</v>
      </c>
    </row>
    <row r="34" spans="1:18" ht="15.75">
      <c r="A34" s="46"/>
      <c r="B34" s="87" t="s">
        <v>46</v>
      </c>
      <c r="C34" s="12">
        <f>14*2</f>
        <v>28</v>
      </c>
      <c r="D34" s="13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.75">
      <c r="A35" s="47"/>
      <c r="B35" s="88" t="s">
        <v>48</v>
      </c>
      <c r="C35" s="18">
        <f>14*2</f>
        <v>28</v>
      </c>
      <c r="D35" s="14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5.75">
      <c r="A36" s="47"/>
      <c r="B36" s="88" t="s">
        <v>251</v>
      </c>
      <c r="C36" s="18">
        <f>13.56*2</f>
        <v>27.12</v>
      </c>
      <c r="D36" s="14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5.75">
      <c r="A37" s="47"/>
      <c r="B37" s="88" t="s">
        <v>47</v>
      </c>
      <c r="C37" s="18">
        <f>20*2</f>
        <v>40</v>
      </c>
      <c r="D37" s="14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5.75">
      <c r="A38" s="47"/>
      <c r="B38" s="88" t="s">
        <v>25</v>
      </c>
      <c r="C38" s="18">
        <f>6*2</f>
        <v>12</v>
      </c>
      <c r="D38" s="14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5.75">
      <c r="A39" s="48"/>
      <c r="B39" s="89" t="s">
        <v>49</v>
      </c>
      <c r="C39" s="14">
        <f>4*2</f>
        <v>8</v>
      </c>
      <c r="D39" s="139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5.75">
      <c r="A40" s="48"/>
      <c r="B40" s="89" t="s">
        <v>86</v>
      </c>
      <c r="C40" s="14">
        <f>4*2</f>
        <v>8</v>
      </c>
      <c r="D40" s="13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6.5" thickBot="1">
      <c r="A41" s="48"/>
      <c r="B41" s="89" t="s">
        <v>29</v>
      </c>
      <c r="C41" s="14">
        <f>0.4*2</f>
        <v>0.8</v>
      </c>
      <c r="D41" s="139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6.5" thickBot="1">
      <c r="A42" s="7" t="s">
        <v>341</v>
      </c>
      <c r="B42" s="8" t="s">
        <v>340</v>
      </c>
      <c r="C42" s="9">
        <v>150</v>
      </c>
      <c r="D42" s="9">
        <v>80.650000000000006</v>
      </c>
      <c r="E42" s="79">
        <v>16.489999999999998</v>
      </c>
      <c r="F42" s="79">
        <v>13.81</v>
      </c>
      <c r="G42" s="79">
        <v>16.89</v>
      </c>
      <c r="H42" s="79">
        <v>5.01</v>
      </c>
      <c r="I42" s="79">
        <v>26.02</v>
      </c>
      <c r="J42" s="79">
        <v>322</v>
      </c>
      <c r="K42" s="79">
        <v>0.39</v>
      </c>
      <c r="L42" s="79">
        <v>1.28</v>
      </c>
      <c r="M42" s="79">
        <v>0</v>
      </c>
      <c r="N42" s="79">
        <v>0</v>
      </c>
      <c r="O42" s="79">
        <v>12.42</v>
      </c>
      <c r="P42" s="79">
        <v>174.61</v>
      </c>
      <c r="Q42" s="79">
        <v>174.61</v>
      </c>
      <c r="R42" s="80">
        <v>1.81</v>
      </c>
    </row>
    <row r="43" spans="1:18" ht="15.75">
      <c r="A43" s="46"/>
      <c r="B43" s="87" t="s">
        <v>263</v>
      </c>
      <c r="C43" s="12">
        <v>78.180000000000007</v>
      </c>
      <c r="D43" s="12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.75">
      <c r="A44" s="47"/>
      <c r="B44" s="88" t="s">
        <v>69</v>
      </c>
      <c r="C44" s="18">
        <v>34</v>
      </c>
      <c r="D44" s="1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5.75">
      <c r="A45" s="47"/>
      <c r="B45" s="88" t="s">
        <v>44</v>
      </c>
      <c r="C45" s="18">
        <v>5</v>
      </c>
      <c r="D45" s="18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5.75">
      <c r="A46" s="48"/>
      <c r="B46" s="123" t="s">
        <v>49</v>
      </c>
      <c r="C46" s="124">
        <v>6</v>
      </c>
      <c r="D46" s="14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ht="15.75">
      <c r="A47" s="48"/>
      <c r="B47" s="89" t="s">
        <v>25</v>
      </c>
      <c r="C47" s="14">
        <v>10</v>
      </c>
      <c r="D47" s="14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ht="16.5" thickBot="1">
      <c r="A48" s="48"/>
      <c r="B48" s="89" t="s">
        <v>27</v>
      </c>
      <c r="C48" s="14">
        <v>8</v>
      </c>
      <c r="D48" s="14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ht="16.5" thickBot="1">
      <c r="A49" s="7" t="s">
        <v>298</v>
      </c>
      <c r="B49" s="8" t="s">
        <v>342</v>
      </c>
      <c r="C49" s="9">
        <v>200</v>
      </c>
      <c r="D49" s="9">
        <v>148.41999999999999</v>
      </c>
      <c r="E49" s="79">
        <v>1.3</v>
      </c>
      <c r="F49" s="79"/>
      <c r="G49" s="79">
        <v>0.08</v>
      </c>
      <c r="H49" s="79">
        <v>0.08</v>
      </c>
      <c r="I49" s="79">
        <v>45.68</v>
      </c>
      <c r="J49" s="79">
        <v>184.64</v>
      </c>
      <c r="K49" s="79">
        <v>0.03</v>
      </c>
      <c r="L49" s="79">
        <v>1</v>
      </c>
      <c r="M49" s="79"/>
      <c r="N49" s="79">
        <v>1</v>
      </c>
      <c r="O49" s="79">
        <v>40.479999999999997</v>
      </c>
      <c r="P49" s="79">
        <v>36.6</v>
      </c>
      <c r="Q49" s="79">
        <v>26.2</v>
      </c>
      <c r="R49" s="80">
        <v>0.86</v>
      </c>
    </row>
    <row r="50" spans="1:18" ht="15.75">
      <c r="A50" s="46"/>
      <c r="B50" s="87" t="s">
        <v>208</v>
      </c>
      <c r="C50" s="12">
        <f>100/5</f>
        <v>20</v>
      </c>
      <c r="D50" s="1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.75">
      <c r="A51" s="47"/>
      <c r="B51" s="88" t="s">
        <v>29</v>
      </c>
      <c r="C51" s="18">
        <v>16</v>
      </c>
      <c r="D51" s="18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5.75">
      <c r="A52" s="48"/>
      <c r="B52" s="89" t="s">
        <v>55</v>
      </c>
      <c r="C52" s="14">
        <f>1/5</f>
        <v>0.2</v>
      </c>
      <c r="D52" s="14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 ht="16.5" thickBot="1">
      <c r="A53" s="48"/>
      <c r="B53" s="89" t="s">
        <v>54</v>
      </c>
      <c r="C53" s="14">
        <v>200</v>
      </c>
      <c r="D53" s="14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16.5" thickBot="1">
      <c r="A54" s="23" t="s">
        <v>35</v>
      </c>
      <c r="B54" s="24" t="s">
        <v>36</v>
      </c>
      <c r="C54" s="25">
        <v>40</v>
      </c>
      <c r="D54" s="25">
        <v>15.2</v>
      </c>
      <c r="E54" s="25">
        <v>3.16</v>
      </c>
      <c r="F54" s="25"/>
      <c r="G54" s="25">
        <v>0.4</v>
      </c>
      <c r="H54" s="25">
        <v>0.4</v>
      </c>
      <c r="I54" s="25">
        <v>19.32</v>
      </c>
      <c r="J54" s="25">
        <v>93.52</v>
      </c>
      <c r="K54" s="25">
        <v>0.04</v>
      </c>
      <c r="L54" s="25"/>
      <c r="M54" s="25"/>
      <c r="N54" s="25">
        <v>0.52</v>
      </c>
      <c r="O54" s="25">
        <v>9.1999999999999993</v>
      </c>
      <c r="P54" s="25">
        <v>34.799999999999997</v>
      </c>
      <c r="Q54" s="25">
        <v>13.2</v>
      </c>
      <c r="R54" s="26">
        <v>0.44</v>
      </c>
    </row>
    <row r="55" spans="1:18" ht="16.5" thickBot="1">
      <c r="A55" s="19"/>
      <c r="B55" s="27" t="s">
        <v>37</v>
      </c>
      <c r="C55" s="21">
        <v>40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6.5" thickBot="1">
      <c r="A56" s="82"/>
      <c r="B56" s="83" t="s">
        <v>40</v>
      </c>
      <c r="C56" s="84"/>
      <c r="D56" s="84">
        <f t="shared" ref="D56:R56" si="1">SUM(D29:D55)</f>
        <v>423.31</v>
      </c>
      <c r="E56" s="84">
        <f t="shared" si="1"/>
        <v>24.84</v>
      </c>
      <c r="F56" s="84">
        <f t="shared" si="1"/>
        <v>13.81</v>
      </c>
      <c r="G56" s="203">
        <f t="shared" si="1"/>
        <v>26.183999999999997</v>
      </c>
      <c r="H56" s="84">
        <f t="shared" si="1"/>
        <v>7.23</v>
      </c>
      <c r="I56" s="84">
        <f t="shared" si="1"/>
        <v>99.22</v>
      </c>
      <c r="J56" s="203">
        <f t="shared" si="1"/>
        <v>742.75</v>
      </c>
      <c r="K56" s="84">
        <f t="shared" si="1"/>
        <v>0.56400000000000006</v>
      </c>
      <c r="L56" s="84">
        <f t="shared" si="1"/>
        <v>43.344000000000001</v>
      </c>
      <c r="M56" s="84">
        <f t="shared" si="1"/>
        <v>2.4E-2</v>
      </c>
      <c r="N56" s="84">
        <f t="shared" si="1"/>
        <v>1.52</v>
      </c>
      <c r="O56" s="84">
        <f t="shared" si="1"/>
        <v>140.994</v>
      </c>
      <c r="P56" s="84">
        <f t="shared" si="1"/>
        <v>409.46400000000006</v>
      </c>
      <c r="Q56" s="84">
        <f t="shared" si="1"/>
        <v>251.55399999999997</v>
      </c>
      <c r="R56" s="84">
        <f t="shared" si="1"/>
        <v>4.5500000000000007</v>
      </c>
    </row>
    <row r="57" spans="1:18" ht="16.5" thickBot="1">
      <c r="A57" s="64"/>
      <c r="B57" s="65" t="s">
        <v>57</v>
      </c>
      <c r="C57" s="66"/>
      <c r="D57" s="66">
        <f t="shared" ref="D57:R57" si="2">D27+D56</f>
        <v>702.41</v>
      </c>
      <c r="E57" s="66">
        <f t="shared" si="2"/>
        <v>43.064999999999998</v>
      </c>
      <c r="F57" s="66">
        <f t="shared" si="2"/>
        <v>20.155000000000001</v>
      </c>
      <c r="G57" s="66">
        <f t="shared" si="2"/>
        <v>42.134</v>
      </c>
      <c r="H57" s="66">
        <f t="shared" si="2"/>
        <v>7.9300000000000006</v>
      </c>
      <c r="I57" s="66">
        <f t="shared" si="2"/>
        <v>166.6</v>
      </c>
      <c r="J57" s="66">
        <f t="shared" si="2"/>
        <v>1253.52</v>
      </c>
      <c r="K57" s="66">
        <f t="shared" si="2"/>
        <v>0.72400000000000009</v>
      </c>
      <c r="L57" s="66">
        <f t="shared" si="2"/>
        <v>44.609000000000002</v>
      </c>
      <c r="M57" s="66">
        <f t="shared" si="2"/>
        <v>57.769000000000005</v>
      </c>
      <c r="N57" s="66">
        <f t="shared" si="2"/>
        <v>2.14</v>
      </c>
      <c r="O57" s="66">
        <f t="shared" si="2"/>
        <v>466.75400000000002</v>
      </c>
      <c r="P57" s="66">
        <f t="shared" si="2"/>
        <v>728.69400000000007</v>
      </c>
      <c r="Q57" s="66">
        <f t="shared" si="2"/>
        <v>307.23899999999998</v>
      </c>
      <c r="R57" s="66">
        <f t="shared" si="2"/>
        <v>5.8350000000000009</v>
      </c>
    </row>
    <row r="59" spans="1:18">
      <c r="B59"/>
    </row>
    <row r="60" spans="1:18">
      <c r="B60"/>
    </row>
    <row r="61" spans="1:18">
      <c r="B61"/>
    </row>
    <row r="62" spans="1:18">
      <c r="B62"/>
    </row>
    <row r="63" spans="1:18">
      <c r="B63"/>
    </row>
    <row r="64" spans="1:18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</sheetData>
  <mergeCells count="17">
    <mergeCell ref="W2:Z2"/>
    <mergeCell ref="AA2:AD2"/>
    <mergeCell ref="B3:Q3"/>
    <mergeCell ref="B4:Q4"/>
    <mergeCell ref="B28:Q28"/>
    <mergeCell ref="G1:G2"/>
    <mergeCell ref="H1:H2"/>
    <mergeCell ref="I1:I2"/>
    <mergeCell ref="J1:J2"/>
    <mergeCell ref="K1:N1"/>
    <mergeCell ref="O1:R1"/>
    <mergeCell ref="F1:F2"/>
    <mergeCell ref="A1:A2"/>
    <mergeCell ref="B1:B2"/>
    <mergeCell ref="C1:C2"/>
    <mergeCell ref="D1:D2"/>
    <mergeCell ref="E1:E2"/>
  </mergeCells>
  <printOptions horizontalCentered="1" verticalCentered="1"/>
  <pageMargins left="0" right="0" top="0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реком среднесут норма</vt:lpstr>
      <vt:lpstr>отклонение</vt:lpstr>
      <vt:lpstr>энерг ценность</vt:lpstr>
      <vt:lpstr>Лист10</vt:lpstr>
      <vt:lpstr>Лист1</vt:lpstr>
      <vt:lpstr>'1 день'!Область_печати</vt:lpstr>
      <vt:lpstr>'10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2019-12-19T23:37:22Z</dcterms:modified>
</cp:coreProperties>
</file>